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8535" tabRatio="643"/>
  </bookViews>
  <sheets>
    <sheet name="Memória de Cálculo" sheetId="10" r:id="rId1"/>
    <sheet name="Planilha cálculo REDE" sheetId="14" r:id="rId2"/>
    <sheet name="cal pop e demanda" sheetId="15" r:id="rId3"/>
  </sheets>
  <definedNames>
    <definedName name="_xlnm.Print_Area" localSheetId="0">'Memória de Cálculo'!$A$1:$F$128</definedName>
    <definedName name="_xlnm.Print_Area" localSheetId="1">'Planilha cálculo REDE'!$A$1:$Q$36</definedName>
    <definedName name="Código" localSheetId="0">#REF!</definedName>
    <definedName name="Código">#REF!</definedName>
    <definedName name="Comprimento_Equivalente" localSheetId="0">#REF!</definedName>
    <definedName name="Comprimento_Equivalente">#REF!</definedName>
    <definedName name="DIAMETRO">#REF!</definedName>
    <definedName name="_xlnm.Print_Titles" localSheetId="0">'Memória de Cálculo'!$1:$7</definedName>
    <definedName name="Valores" localSheetId="0">#REF!</definedName>
    <definedName name="Valores">#REF!</definedName>
    <definedName name="Volume">#REF!</definedName>
  </definedNames>
  <calcPr calcId="152511"/>
</workbook>
</file>

<file path=xl/calcChain.xml><?xml version="1.0" encoding="utf-8"?>
<calcChain xmlns="http://schemas.openxmlformats.org/spreadsheetml/2006/main">
  <c r="E16" i="14" l="1"/>
  <c r="D121" i="10" l="1"/>
  <c r="D51" i="10"/>
  <c r="D45" i="10"/>
  <c r="F5" i="15" l="1"/>
  <c r="I140" i="10"/>
  <c r="D133" i="10"/>
  <c r="D135" i="10" s="1"/>
  <c r="O67" i="10"/>
  <c r="K21" i="10"/>
  <c r="C11" i="15"/>
  <c r="M148" i="10"/>
  <c r="M147" i="10"/>
  <c r="D48" i="10"/>
  <c r="D47" i="10" s="1"/>
  <c r="D78" i="10"/>
  <c r="B64" i="10"/>
  <c r="E64" i="10" s="1"/>
  <c r="B65" i="10"/>
  <c r="E65" i="10"/>
  <c r="B66" i="10"/>
  <c r="E66" i="10" s="1"/>
  <c r="B67" i="10"/>
  <c r="E67" i="10" s="1"/>
  <c r="B68" i="10"/>
  <c r="E68" i="10" s="1"/>
  <c r="B69" i="10"/>
  <c r="E69" i="10" s="1"/>
  <c r="B70" i="10"/>
  <c r="E70" i="10" s="1"/>
  <c r="D75" i="10"/>
  <c r="D86" i="10"/>
  <c r="D88" i="10"/>
  <c r="D114" i="10"/>
  <c r="B27" i="14"/>
  <c r="D30" i="14" s="1"/>
  <c r="O56" i="10"/>
  <c r="O57" i="10"/>
  <c r="O59" i="10"/>
  <c r="O60" i="10"/>
  <c r="O61" i="10"/>
  <c r="O62" i="10"/>
  <c r="O55" i="10"/>
  <c r="D101" i="10"/>
  <c r="D103" i="10"/>
  <c r="B11" i="15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D15" i="10"/>
  <c r="N126" i="10"/>
  <c r="G123" i="10"/>
  <c r="N124" i="10"/>
  <c r="M122" i="10"/>
  <c r="D44" i="10"/>
  <c r="D50" i="10"/>
  <c r="D41" i="10"/>
  <c r="D42" i="10" s="1"/>
  <c r="D49" i="10"/>
  <c r="D46" i="10" l="1"/>
  <c r="D120" i="10" s="1"/>
  <c r="G120" i="10" s="1"/>
  <c r="D31" i="14"/>
  <c r="D113" i="10"/>
  <c r="D43" i="10"/>
  <c r="D105" i="10"/>
  <c r="D106" i="10" s="1"/>
  <c r="N14" i="10" s="1"/>
  <c r="D116" i="10"/>
  <c r="D72" i="10"/>
  <c r="D11" i="15"/>
  <c r="C12" i="15"/>
  <c r="C23" i="15"/>
  <c r="J11" i="15"/>
  <c r="D102" i="10"/>
  <c r="J26" i="10"/>
  <c r="D125" i="10" l="1"/>
  <c r="D126" i="10" s="1"/>
  <c r="D127" i="10" s="1"/>
  <c r="D128" i="10" s="1"/>
  <c r="D55" i="10"/>
  <c r="D76" i="10" s="1"/>
  <c r="D94" i="10"/>
  <c r="E17" i="14"/>
  <c r="C13" i="15"/>
  <c r="D12" i="15"/>
  <c r="J12" i="15"/>
  <c r="E10" i="14"/>
  <c r="F11" i="15"/>
  <c r="H11" i="15" s="1"/>
  <c r="E11" i="15"/>
  <c r="G11" i="15" s="1"/>
  <c r="I11" i="15" s="1"/>
  <c r="G126" i="10" l="1"/>
  <c r="D73" i="10"/>
  <c r="D56" i="10"/>
  <c r="D79" i="10"/>
  <c r="D27" i="14"/>
  <c r="F17" i="14"/>
  <c r="K17" i="14" s="1"/>
  <c r="F10" i="14"/>
  <c r="I10" i="14" s="1"/>
  <c r="D13" i="15"/>
  <c r="J13" i="15"/>
  <c r="C14" i="15"/>
  <c r="F12" i="15"/>
  <c r="H12" i="15" s="1"/>
  <c r="E12" i="15"/>
  <c r="G12" i="15" s="1"/>
  <c r="I12" i="15" s="1"/>
  <c r="D81" i="10" l="1"/>
  <c r="Q9" i="10" s="1"/>
  <c r="D85" i="10"/>
  <c r="D89" i="10" s="1"/>
  <c r="D90" i="10" s="1"/>
  <c r="D95" i="10" s="1"/>
  <c r="I17" i="14"/>
  <c r="F13" i="15"/>
  <c r="H13" i="15" s="1"/>
  <c r="E13" i="15"/>
  <c r="G13" i="15" s="1"/>
  <c r="I13" i="15" s="1"/>
  <c r="E11" i="14"/>
  <c r="F11" i="14" s="1"/>
  <c r="I11" i="14" s="1"/>
  <c r="J14" i="15"/>
  <c r="D14" i="15"/>
  <c r="C15" i="15"/>
  <c r="S24" i="10" l="1"/>
  <c r="F14" i="15"/>
  <c r="H14" i="15" s="1"/>
  <c r="E14" i="15"/>
  <c r="G14" i="15" s="1"/>
  <c r="I14" i="15" s="1"/>
  <c r="D15" i="15"/>
  <c r="C16" i="15"/>
  <c r="J15" i="15"/>
  <c r="K11" i="14" l="1"/>
  <c r="E12" i="14"/>
  <c r="F15" i="15"/>
  <c r="H15" i="15" s="1"/>
  <c r="E15" i="15"/>
  <c r="G15" i="15" s="1"/>
  <c r="I15" i="15" s="1"/>
  <c r="C17" i="15"/>
  <c r="D16" i="15"/>
  <c r="J16" i="15"/>
  <c r="K10" i="14"/>
  <c r="D17" i="15" l="1"/>
  <c r="J17" i="15"/>
  <c r="C18" i="15"/>
  <c r="F16" i="15"/>
  <c r="H16" i="15" s="1"/>
  <c r="E16" i="15"/>
  <c r="G16" i="15" s="1"/>
  <c r="I16" i="15" s="1"/>
  <c r="F12" i="14"/>
  <c r="I12" i="14" s="1"/>
  <c r="F17" i="15" l="1"/>
  <c r="H17" i="15" s="1"/>
  <c r="E17" i="15"/>
  <c r="G17" i="15" s="1"/>
  <c r="I17" i="15" s="1"/>
  <c r="E13" i="14"/>
  <c r="F13" i="14" s="1"/>
  <c r="I13" i="14" s="1"/>
  <c r="J18" i="15"/>
  <c r="D18" i="15"/>
  <c r="C19" i="15"/>
  <c r="D19" i="15" l="1"/>
  <c r="C20" i="15"/>
  <c r="J19" i="15"/>
  <c r="F18" i="15"/>
  <c r="H18" i="15" s="1"/>
  <c r="E18" i="15"/>
  <c r="G18" i="15" s="1"/>
  <c r="I18" i="15" s="1"/>
  <c r="C21" i="15" l="1"/>
  <c r="D20" i="15"/>
  <c r="J20" i="15"/>
  <c r="K12" i="14"/>
  <c r="E14" i="14"/>
  <c r="F14" i="14" s="1"/>
  <c r="F19" i="15"/>
  <c r="H19" i="15" s="1"/>
  <c r="E19" i="15"/>
  <c r="G19" i="15" s="1"/>
  <c r="I19" i="15" s="1"/>
  <c r="K13" i="14"/>
  <c r="D21" i="15" l="1"/>
  <c r="J21" i="15"/>
  <c r="F20" i="15"/>
  <c r="H20" i="15" s="1"/>
  <c r="E20" i="15"/>
  <c r="G20" i="15" s="1"/>
  <c r="I20" i="15" s="1"/>
  <c r="E15" i="14" l="1"/>
  <c r="F21" i="15"/>
  <c r="H21" i="15" s="1"/>
  <c r="E21" i="15"/>
  <c r="G21" i="15" s="1"/>
  <c r="I21" i="15" s="1"/>
  <c r="I14" i="14" l="1"/>
  <c r="K14" i="14"/>
  <c r="F15" i="14"/>
  <c r="F16" i="14" l="1"/>
  <c r="I16" i="14" s="1"/>
  <c r="Q32" i="14" l="1"/>
  <c r="Q34" i="14"/>
  <c r="Q33" i="14"/>
  <c r="Q31" i="14"/>
  <c r="Q35" i="14"/>
  <c r="K16" i="14"/>
  <c r="K15" i="14" l="1"/>
  <c r="I15" i="14"/>
  <c r="O36" i="14"/>
  <c r="Q30" i="14"/>
  <c r="Q36" i="14" s="1"/>
  <c r="L16" i="14" l="1"/>
  <c r="O16" i="14"/>
  <c r="P16" i="14" l="1"/>
  <c r="L15" i="14" l="1"/>
  <c r="O15" i="14"/>
  <c r="O17" i="14"/>
  <c r="L17" i="14"/>
  <c r="P17" i="14" s="1"/>
  <c r="P15" i="14" l="1"/>
  <c r="L14" i="14" l="1"/>
  <c r="O14" i="14"/>
  <c r="P14" i="14" l="1"/>
  <c r="L13" i="14" l="1"/>
  <c r="O13" i="14"/>
  <c r="P13" i="14" l="1"/>
  <c r="L12" i="14" l="1"/>
  <c r="O12" i="14"/>
  <c r="P12" i="14" l="1"/>
  <c r="O11" i="14" l="1"/>
  <c r="L11" i="14"/>
  <c r="P11" i="14" l="1"/>
  <c r="L10" i="14" l="1"/>
  <c r="P10" i="14" s="1"/>
  <c r="O10" i="14"/>
</calcChain>
</file>

<file path=xl/sharedStrings.xml><?xml version="1.0" encoding="utf-8"?>
<sst xmlns="http://schemas.openxmlformats.org/spreadsheetml/2006/main" count="385" uniqueCount="286">
  <si>
    <t>unid</t>
  </si>
  <si>
    <t>hab/unid</t>
  </si>
  <si>
    <t>habitantes</t>
  </si>
  <si>
    <t>Per-capta habitacional</t>
  </si>
  <si>
    <t>Cálculo das Demandas</t>
  </si>
  <si>
    <t>l/s</t>
  </si>
  <si>
    <t>m³/h</t>
  </si>
  <si>
    <t>litros</t>
  </si>
  <si>
    <t>m³</t>
  </si>
  <si>
    <t>Diâmetro da Adutora</t>
  </si>
  <si>
    <t>m³/s</t>
  </si>
  <si>
    <t>m</t>
  </si>
  <si>
    <t>mm</t>
  </si>
  <si>
    <t>mca</t>
  </si>
  <si>
    <t>Comprimento</t>
  </si>
  <si>
    <t>Tê Passagem Direta</t>
  </si>
  <si>
    <t>Peças</t>
  </si>
  <si>
    <t>Ø (m)</t>
  </si>
  <si>
    <t>Total de Comprimento Equivalente</t>
  </si>
  <si>
    <t>L (m)</t>
  </si>
  <si>
    <t>Vazão de Produção</t>
  </si>
  <si>
    <t>Altura Manométrica</t>
  </si>
  <si>
    <t>horas</t>
  </si>
  <si>
    <t>Perda de carga localizada</t>
  </si>
  <si>
    <t>NE</t>
  </si>
  <si>
    <t>ND</t>
  </si>
  <si>
    <t>q</t>
  </si>
  <si>
    <t>K</t>
  </si>
  <si>
    <t>Consumo diário</t>
  </si>
  <si>
    <t>m³/dia</t>
  </si>
  <si>
    <t>MEMÓRIA DE CÁLCULO</t>
  </si>
  <si>
    <t>PLANILHA DE CÁLCULO DE REDE DE DISTRIBUIÇÃO DE ÁGUA</t>
  </si>
  <si>
    <t>Trecho</t>
  </si>
  <si>
    <t>Vazão (l/s)</t>
  </si>
  <si>
    <t>Diâmetro</t>
  </si>
  <si>
    <t>Velocidade</t>
  </si>
  <si>
    <t>Cota Piezométrica</t>
  </si>
  <si>
    <t>Perda de</t>
  </si>
  <si>
    <t>Cota do Terreno (m)</t>
  </si>
  <si>
    <t>Pressão Disponível</t>
  </si>
  <si>
    <t>Observações</t>
  </si>
  <si>
    <t>A Jusante</t>
  </si>
  <si>
    <t>Em Marcha</t>
  </si>
  <si>
    <t>A Montante</t>
  </si>
  <si>
    <t>Fictícia</t>
  </si>
  <si>
    <t>m/s</t>
  </si>
  <si>
    <t>A Montante (m)</t>
  </si>
  <si>
    <t>Carga (m)</t>
  </si>
  <si>
    <t>A Jusante (m)</t>
  </si>
  <si>
    <t>Parâmetros de Projeto:</t>
  </si>
  <si>
    <t>Vazão de distribuição</t>
  </si>
  <si>
    <t>Diâmetro da rede de alimentação</t>
  </si>
  <si>
    <t>Comprimento total de rede</t>
  </si>
  <si>
    <t>Vazão por metro de canalização</t>
  </si>
  <si>
    <t>l/s/m</t>
  </si>
  <si>
    <t>Cota do terreno na rede de alimentação</t>
  </si>
  <si>
    <t>Coeficiente Hazen-Williams C</t>
  </si>
  <si>
    <t>Pressão mínima na rede</t>
  </si>
  <si>
    <t>PARÂMETROS POPULACIONAIS</t>
  </si>
  <si>
    <t>PARÂMETROS HIDRÁULICOS</t>
  </si>
  <si>
    <t>50mm</t>
  </si>
  <si>
    <t>TOTAL</t>
  </si>
  <si>
    <t>Coeficiente do dia de maior consumo</t>
  </si>
  <si>
    <t>p</t>
  </si>
  <si>
    <t>Nº de horas de funcionamento do conjunto moto-bomba</t>
  </si>
  <si>
    <t>Coeficiente de BRESSER</t>
  </si>
  <si>
    <t>Coeficiente de HAZEN-WILLIANS  PVC</t>
  </si>
  <si>
    <t>Coef.PVC</t>
  </si>
  <si>
    <t>Nível Estático do Poço</t>
  </si>
  <si>
    <t>Nível Dinâmico do Poço</t>
  </si>
  <si>
    <t>Profundidade de colocação do conjunto moto-bomba</t>
  </si>
  <si>
    <t>Pmb</t>
  </si>
  <si>
    <t>Comprimento total da tubulação de recalque acima do poço</t>
  </si>
  <si>
    <t>Ir</t>
  </si>
  <si>
    <t>Profundidade do Poço</t>
  </si>
  <si>
    <t>Diâmetro do Poço</t>
  </si>
  <si>
    <t>PPç</t>
  </si>
  <si>
    <t>DPç</t>
  </si>
  <si>
    <t>"</t>
  </si>
  <si>
    <t>Altura na entrada do reservatório elevado</t>
  </si>
  <si>
    <t>Hr</t>
  </si>
  <si>
    <t>Consumo de água percapta</t>
  </si>
  <si>
    <t>litros/hab/dia</t>
  </si>
  <si>
    <t>Cd</t>
  </si>
  <si>
    <t>litros/dia</t>
  </si>
  <si>
    <t>Vazão de captação</t>
  </si>
  <si>
    <t>Vc</t>
  </si>
  <si>
    <t>litros/h</t>
  </si>
  <si>
    <t>Vd</t>
  </si>
  <si>
    <t>litros/s</t>
  </si>
  <si>
    <t>Vp</t>
  </si>
  <si>
    <t>DN A</t>
  </si>
  <si>
    <t>Quantidade</t>
  </si>
  <si>
    <r>
      <t>Curva de  90</t>
    </r>
    <r>
      <rPr>
        <vertAlign val="superscript"/>
        <sz val="10"/>
        <rFont val="Arial"/>
        <family val="2"/>
      </rPr>
      <t>o</t>
    </r>
  </si>
  <si>
    <t>Registro de Gaveta</t>
  </si>
  <si>
    <r>
      <t>Curva de  45</t>
    </r>
    <r>
      <rPr>
        <vertAlign val="superscript"/>
        <sz val="10"/>
        <rFont val="Arial"/>
        <family val="2"/>
      </rPr>
      <t>o</t>
    </r>
  </si>
  <si>
    <t>Cálculo da Perda de Carga  na Adutora</t>
  </si>
  <si>
    <t>Perda de carga na tubulação</t>
  </si>
  <si>
    <t>Perda de Carga total na adução</t>
  </si>
  <si>
    <t>Ce</t>
  </si>
  <si>
    <t>hp Ce</t>
  </si>
  <si>
    <t>Ct</t>
  </si>
  <si>
    <t>hp Ct</t>
  </si>
  <si>
    <t>HPT</t>
  </si>
  <si>
    <t>HManT</t>
  </si>
  <si>
    <t>Cálculo da Reservação</t>
  </si>
  <si>
    <t>Especificação do Conjunto Moto-Bomba do Poço</t>
  </si>
  <si>
    <t>Volume de reservação</t>
  </si>
  <si>
    <t>Volume adotado</t>
  </si>
  <si>
    <t>Vol</t>
  </si>
  <si>
    <t>Vol Ado</t>
  </si>
  <si>
    <t>Coeficiente da hora de maior consumo</t>
  </si>
  <si>
    <t>Cálculo da Altura Manométrica Total</t>
  </si>
  <si>
    <t>Cálculo da Rede de Distribuição</t>
  </si>
  <si>
    <t>Pressão Mínima</t>
  </si>
  <si>
    <t>Pmin</t>
  </si>
  <si>
    <t>m.c.a</t>
  </si>
  <si>
    <t>Diãmetro mínimo</t>
  </si>
  <si>
    <t xml:space="preserve"> Ø mín</t>
  </si>
  <si>
    <t>Comprimento total da rede de distribuição</t>
  </si>
  <si>
    <t>C T Rede</t>
  </si>
  <si>
    <t>Vazão específica</t>
  </si>
  <si>
    <t>Q esp</t>
  </si>
  <si>
    <t>litros/s.m</t>
  </si>
  <si>
    <r>
      <t>K</t>
    </r>
    <r>
      <rPr>
        <b/>
        <vertAlign val="subscript"/>
        <sz val="10"/>
        <rFont val="Arial"/>
        <family val="2"/>
      </rPr>
      <t>1</t>
    </r>
  </si>
  <si>
    <r>
      <t>K</t>
    </r>
    <r>
      <rPr>
        <b/>
        <vertAlign val="subscript"/>
        <sz val="10"/>
        <rFont val="Arial"/>
        <family val="2"/>
      </rPr>
      <t>2</t>
    </r>
    <r>
      <rPr>
        <sz val="10"/>
        <rFont val="Arial"/>
      </rPr>
      <t/>
    </r>
  </si>
  <si>
    <r>
      <t>Coeficiente de HAZEN-WILLIANS  F</t>
    </r>
    <r>
      <rPr>
        <vertAlign val="superscript"/>
        <sz val="10"/>
        <rFont val="Arial"/>
        <family val="2"/>
      </rPr>
      <t xml:space="preserve">o </t>
    </r>
    <r>
      <rPr>
        <sz val="10"/>
        <rFont val="Arial"/>
        <family val="2"/>
      </rPr>
      <t>G</t>
    </r>
    <r>
      <rPr>
        <vertAlign val="superscript"/>
        <sz val="10"/>
        <rFont val="Arial"/>
        <family val="2"/>
      </rPr>
      <t>o</t>
    </r>
  </si>
  <si>
    <r>
      <t>Coef.F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 G</t>
    </r>
    <r>
      <rPr>
        <b/>
        <vertAlign val="superscript"/>
        <sz val="10"/>
        <rFont val="Arial"/>
        <family val="2"/>
      </rPr>
      <t>o</t>
    </r>
  </si>
  <si>
    <r>
      <t>N</t>
    </r>
    <r>
      <rPr>
        <vertAlign val="superscript"/>
        <sz val="10"/>
        <rFont val="Arial"/>
        <family val="2"/>
      </rPr>
      <t xml:space="preserve">o </t>
    </r>
    <r>
      <rPr>
        <sz val="10"/>
        <rFont val="Arial"/>
        <family val="2"/>
      </rPr>
      <t>de Ø</t>
    </r>
  </si>
  <si>
    <t>Vazão Média</t>
  </si>
  <si>
    <t>Vm</t>
  </si>
  <si>
    <t>Taxa de crescimento populacional</t>
  </si>
  <si>
    <t>Nh</t>
  </si>
  <si>
    <t>%</t>
  </si>
  <si>
    <t>População de projeto</t>
  </si>
  <si>
    <t>Tcp</t>
  </si>
  <si>
    <t>População a ser adotada de projeto</t>
  </si>
  <si>
    <t>METRAGEM (M)</t>
  </si>
  <si>
    <t xml:space="preserve">Nº de habitantes </t>
  </si>
  <si>
    <t>Vazão de Captação</t>
  </si>
  <si>
    <t>Capacidade de reservação do Consumo diário</t>
  </si>
  <si>
    <t>CRCd</t>
  </si>
  <si>
    <t>part consumo</t>
  </si>
  <si>
    <t>TUBULAÇÃO</t>
  </si>
  <si>
    <t>Cota piezométrica  rede de alimentação</t>
  </si>
  <si>
    <t>SISTEMA DE ABASTECIMENTO DE ÁGUA</t>
  </si>
  <si>
    <t>PROJEÇÃO POPULACIONAL (POPULAÇÃO DE PROJETO)</t>
  </si>
  <si>
    <t>Cálculo da Adutora</t>
  </si>
  <si>
    <t>Válvula de retenção</t>
  </si>
  <si>
    <t>Dif</t>
  </si>
  <si>
    <t>DN</t>
  </si>
  <si>
    <t>interno</t>
  </si>
  <si>
    <t>Amliação gradual</t>
  </si>
  <si>
    <t>Taxa de crescimento</t>
  </si>
  <si>
    <t>Ano 0</t>
  </si>
  <si>
    <t>Ano 10</t>
  </si>
  <si>
    <t>Ano</t>
  </si>
  <si>
    <t>População</t>
  </si>
  <si>
    <t>Pop Atual</t>
  </si>
  <si>
    <t>(l/s)</t>
  </si>
  <si>
    <r>
      <t>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/h)</t>
    </r>
  </si>
  <si>
    <t>Vazão média</t>
  </si>
  <si>
    <t>Vazão max. Dia</t>
  </si>
  <si>
    <t>Vazão max. Hora</t>
  </si>
  <si>
    <t>Reservação</t>
  </si>
  <si>
    <t>Parâmetros iniciais hidrâulicos</t>
  </si>
  <si>
    <t>K1</t>
  </si>
  <si>
    <t>K2</t>
  </si>
  <si>
    <t>Percacpta</t>
  </si>
  <si>
    <t>l hab dia</t>
  </si>
  <si>
    <t>Parte Rese</t>
  </si>
  <si>
    <t>Calculo da projeção populacional e da demanda</t>
  </si>
  <si>
    <t>Pop proj</t>
  </si>
  <si>
    <t>Cd / 1000</t>
  </si>
  <si>
    <t>Pop proj x q</t>
  </si>
  <si>
    <t>(Pop proj x q ) / 24</t>
  </si>
  <si>
    <t>(Pop proj x q x K1 x k2) / 24</t>
  </si>
  <si>
    <t>Vd / 3600</t>
  </si>
  <si>
    <t>Vd / 1000</t>
  </si>
  <si>
    <t>Vc / 3600</t>
  </si>
  <si>
    <t>K x Raiz Vp</t>
  </si>
  <si>
    <t>L1</t>
  </si>
  <si>
    <t>L2</t>
  </si>
  <si>
    <t>L3</t>
  </si>
  <si>
    <t>L4</t>
  </si>
  <si>
    <t>L5</t>
  </si>
  <si>
    <t>L6</t>
  </si>
  <si>
    <t>L1+L2+L3+L4+L5+L6</t>
  </si>
  <si>
    <t>(10,643*(Vp)^1,85*Ct)/(Coef. PVC^1,85*(DN A/1000)^4,87</t>
  </si>
  <si>
    <t>hp Ce + hp Ct</t>
  </si>
  <si>
    <t>descrever valor</t>
  </si>
  <si>
    <t>Valor adotado</t>
  </si>
  <si>
    <t>Cd x K1 x CRCd</t>
  </si>
  <si>
    <t>(Pop proj x q x K1 x k2) / 86400</t>
  </si>
  <si>
    <t>adotado</t>
  </si>
  <si>
    <t>1CV</t>
  </si>
  <si>
    <t>1Watt</t>
  </si>
  <si>
    <t>cv</t>
  </si>
  <si>
    <t>htb</t>
  </si>
  <si>
    <t>(Pop proj x q x K1) / htb</t>
  </si>
  <si>
    <t>Cálculo do Sistema de cloração</t>
  </si>
  <si>
    <t xml:space="preserve">Vazão a tratar </t>
  </si>
  <si>
    <t>Vt</t>
  </si>
  <si>
    <t>Tempo de operação</t>
  </si>
  <si>
    <t>t</t>
  </si>
  <si>
    <t>horas/dia</t>
  </si>
  <si>
    <t>Dosagem de cloro desejada</t>
  </si>
  <si>
    <t>dcd</t>
  </si>
  <si>
    <t>mg/l</t>
  </si>
  <si>
    <t>Teor de cloro na pastilha</t>
  </si>
  <si>
    <t>%cp</t>
  </si>
  <si>
    <t>Taxa de dissolução na pastilha</t>
  </si>
  <si>
    <t>Txd</t>
  </si>
  <si>
    <t>g/h</t>
  </si>
  <si>
    <t>Quantidade de cloro necessário</t>
  </si>
  <si>
    <t>Qcn</t>
  </si>
  <si>
    <t>Vt * dcd</t>
  </si>
  <si>
    <t>Quantidade de pastilhas necessárias</t>
  </si>
  <si>
    <t>Qpn</t>
  </si>
  <si>
    <t>Qcn / %cp</t>
  </si>
  <si>
    <t>Número de dosadores</t>
  </si>
  <si>
    <t>Nd</t>
  </si>
  <si>
    <t>Qpn / Txd</t>
  </si>
  <si>
    <t>Número de dosadores adotado</t>
  </si>
  <si>
    <t>Nda</t>
  </si>
  <si>
    <t>Dimensionamento do sistema elétrico (Grupo Gerador)</t>
  </si>
  <si>
    <t>Potência do motor-bomba submersa</t>
  </si>
  <si>
    <t>CV</t>
  </si>
  <si>
    <t>Cmin G</t>
  </si>
  <si>
    <t>KVA</t>
  </si>
  <si>
    <t>Amt</t>
  </si>
  <si>
    <t>Capacidade ofericida em regime nominal pelo gerador</t>
  </si>
  <si>
    <t>C O G</t>
  </si>
  <si>
    <t>Interno adotado</t>
  </si>
  <si>
    <t>Comercial adotado</t>
  </si>
  <si>
    <t>KW</t>
  </si>
  <si>
    <t>Capacidade Mínima Requerida</t>
  </si>
  <si>
    <t>(CV)</t>
  </si>
  <si>
    <t>Potência do Motor</t>
  </si>
  <si>
    <t>Comprimento de tubulação da bomba até a boca do poço</t>
  </si>
  <si>
    <t>Comprimento de tubulação da boca do poço até a entrada na caixa d'água</t>
  </si>
  <si>
    <t xml:space="preserve"> Ir</t>
  </si>
  <si>
    <t>polegada</t>
  </si>
  <si>
    <t>externo</t>
  </si>
  <si>
    <t>espessura</t>
  </si>
  <si>
    <t>DIÂMETRO PVC JS</t>
  </si>
  <si>
    <t>Diâmetro comercial</t>
  </si>
  <si>
    <t>L7</t>
  </si>
  <si>
    <t>Tê Passagem Bilateral</t>
  </si>
  <si>
    <t>Marca: LEÃO ou similar</t>
  </si>
  <si>
    <t>(10,643*(Vp)^1,85*Ce)/(Coef. FoGo^1,85*(DN A/1000)^4,87</t>
  </si>
  <si>
    <t>(10,643*(Vp)^1,85*Ct)/(Coef. FoGo^1,85*(DN A/1000)^4,87</t>
  </si>
  <si>
    <t>Frequência: 60 Hz / 3.450rpm</t>
  </si>
  <si>
    <t>kw</t>
  </si>
  <si>
    <t>Carga instalada</t>
  </si>
  <si>
    <t>Pmb x 0,736</t>
  </si>
  <si>
    <t xml:space="preserve">Utilizando um fator de potência médio </t>
  </si>
  <si>
    <t>Cmin G  x  Amt</t>
  </si>
  <si>
    <t>Diferença de cota entre o poço e o reservatório</t>
  </si>
  <si>
    <t>Nº de edificações (2012)</t>
  </si>
  <si>
    <t xml:space="preserve">   </t>
  </si>
  <si>
    <t>8-6</t>
  </si>
  <si>
    <t>8-7</t>
  </si>
  <si>
    <t>32mm</t>
  </si>
  <si>
    <t>20mm</t>
  </si>
  <si>
    <t>40mm</t>
  </si>
  <si>
    <t>60mm</t>
  </si>
  <si>
    <t>25mm</t>
  </si>
  <si>
    <t>CLAUDIO ANTONIO PERUZZOLO</t>
  </si>
  <si>
    <t>ENGº CIVIL CREA 60.388 - D</t>
  </si>
  <si>
    <r>
      <t>Q máx = 1,5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</t>
    </r>
  </si>
  <si>
    <t>Modelo:  4R3IA-21 360</t>
  </si>
  <si>
    <t>Potência:  2 CV</t>
  </si>
  <si>
    <r>
      <t>N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 estágios: 21</t>
    </r>
  </si>
  <si>
    <t>DN saída da bomba:1 1/ 2"</t>
  </si>
  <si>
    <t>H máx = 185,00m</t>
  </si>
  <si>
    <t>LINHA MADALENA</t>
  </si>
  <si>
    <t>DATA: ABRIL/2018</t>
  </si>
  <si>
    <t>4-R</t>
  </si>
  <si>
    <t>4-8</t>
  </si>
  <si>
    <t>6-5</t>
  </si>
  <si>
    <t>4-3</t>
  </si>
  <si>
    <t>3-2</t>
  </si>
  <si>
    <t>3-.1</t>
  </si>
  <si>
    <t>ENG] CIVIL CREA 60.388 - D</t>
  </si>
  <si>
    <t>LINHA MADALENA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</si>
</sst>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"/>
    <numFmt numFmtId="165" formatCode="#,##0.0000"/>
    <numFmt numFmtId="166" formatCode="0.000"/>
    <numFmt numFmtId="167" formatCode="0.0000"/>
    <numFmt numFmtId="168" formatCode="#,##0.00000"/>
    <numFmt numFmtId="169" formatCode="0.000000"/>
    <numFmt numFmtId="170" formatCode="#,##0.0"/>
    <numFmt numFmtId="171" formatCode="#,##0.00000000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55"/>
      </patternFill>
    </fill>
    <fill>
      <patternFill patternType="gray125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gray125">
        <fgColor indexed="9"/>
        <bgColor indexed="13"/>
      </patternFill>
    </fill>
    <fill>
      <patternFill patternType="solid">
        <fgColor indexed="41"/>
        <bgColor indexed="9"/>
      </patternFill>
    </fill>
    <fill>
      <patternFill patternType="solid">
        <fgColor indexed="47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1" applyFont="1" applyAlignment="1">
      <alignment vertic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0" borderId="0" xfId="0" applyFont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2" fontId="7" fillId="0" borderId="2" xfId="0" applyNumberFormat="1" applyFont="1" applyBorder="1" applyAlignment="1">
      <alignment horizontal="center"/>
    </xf>
    <xf numFmtId="166" fontId="7" fillId="0" borderId="3" xfId="0" applyNumberFormat="1" applyFont="1" applyFill="1" applyBorder="1" applyAlignment="1">
      <alignment horizontal="center"/>
    </xf>
    <xf numFmtId="166" fontId="7" fillId="0" borderId="4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6" fontId="7" fillId="0" borderId="5" xfId="0" applyNumberFormat="1" applyFont="1" applyFill="1" applyBorder="1" applyAlignment="1">
      <alignment horizontal="center"/>
    </xf>
    <xf numFmtId="166" fontId="7" fillId="0" borderId="1" xfId="0" applyNumberFormat="1" applyFont="1" applyFill="1" applyBorder="1" applyAlignment="1">
      <alignment horizontal="center"/>
    </xf>
    <xf numFmtId="166" fontId="7" fillId="0" borderId="6" xfId="0" applyNumberFormat="1" applyFont="1" applyFill="1" applyBorder="1" applyAlignment="1">
      <alignment horizontal="center"/>
    </xf>
    <xf numFmtId="166" fontId="7" fillId="0" borderId="7" xfId="0" applyNumberFormat="1" applyFont="1" applyFill="1" applyBorder="1" applyAlignment="1">
      <alignment horizontal="center"/>
    </xf>
    <xf numFmtId="0" fontId="7" fillId="0" borderId="8" xfId="0" applyFont="1" applyBorder="1" applyAlignment="1">
      <alignment wrapText="1"/>
    </xf>
    <xf numFmtId="0" fontId="7" fillId="0" borderId="9" xfId="0" applyFont="1" applyBorder="1"/>
    <xf numFmtId="0" fontId="7" fillId="0" borderId="5" xfId="0" applyFont="1" applyBorder="1"/>
    <xf numFmtId="0" fontId="7" fillId="2" borderId="10" xfId="0" applyFont="1" applyFill="1" applyBorder="1"/>
    <xf numFmtId="0" fontId="7" fillId="0" borderId="0" xfId="0" applyFont="1" applyBorder="1"/>
    <xf numFmtId="0" fontId="7" fillId="0" borderId="11" xfId="0" applyFont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0" fontId="7" fillId="2" borderId="13" xfId="0" applyFont="1" applyFill="1" applyBorder="1"/>
    <xf numFmtId="0" fontId="7" fillId="0" borderId="1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0" borderId="0" xfId="0" applyFont="1" applyFill="1" applyBorder="1"/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3" fontId="7" fillId="2" borderId="5" xfId="0" applyNumberFormat="1" applyFont="1" applyFill="1" applyBorder="1"/>
    <xf numFmtId="169" fontId="7" fillId="2" borderId="5" xfId="0" applyNumberFormat="1" applyFont="1" applyFill="1" applyBorder="1"/>
    <xf numFmtId="0" fontId="7" fillId="2" borderId="12" xfId="0" applyFont="1" applyFill="1" applyBorder="1"/>
    <xf numFmtId="0" fontId="7" fillId="0" borderId="16" xfId="0" applyFont="1" applyBorder="1"/>
    <xf numFmtId="0" fontId="7" fillId="0" borderId="3" xfId="0" applyFont="1" applyBorder="1"/>
    <xf numFmtId="164" fontId="7" fillId="2" borderId="3" xfId="0" applyNumberFormat="1" applyFont="1" applyFill="1" applyBorder="1"/>
    <xf numFmtId="0" fontId="7" fillId="2" borderId="17" xfId="0" applyFont="1" applyFill="1" applyBorder="1"/>
    <xf numFmtId="0" fontId="7" fillId="0" borderId="18" xfId="0" applyFont="1" applyBorder="1"/>
    <xf numFmtId="0" fontId="7" fillId="0" borderId="12" xfId="0" applyFont="1" applyBorder="1"/>
    <xf numFmtId="0" fontId="7" fillId="0" borderId="17" xfId="0" applyFont="1" applyBorder="1"/>
    <xf numFmtId="0" fontId="7" fillId="0" borderId="10" xfId="0" applyFont="1" applyBorder="1"/>
    <xf numFmtId="166" fontId="7" fillId="0" borderId="12" xfId="0" applyNumberFormat="1" applyFont="1" applyBorder="1"/>
    <xf numFmtId="0" fontId="7" fillId="0" borderId="13" xfId="0" applyFont="1" applyBorder="1"/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0" fillId="0" borderId="0" xfId="0" applyNumberFormat="1"/>
    <xf numFmtId="0" fontId="0" fillId="0" borderId="1" xfId="0" applyBorder="1" applyAlignment="1">
      <alignment horizontal="center" vertical="center"/>
    </xf>
    <xf numFmtId="0" fontId="0" fillId="4" borderId="0" xfId="0" applyFill="1"/>
    <xf numFmtId="166" fontId="0" fillId="0" borderId="1" xfId="0" applyNumberForma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4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3" fontId="3" fillId="7" borderId="1" xfId="0" applyNumberFormat="1" applyFont="1" applyFill="1" applyBorder="1" applyAlignment="1">
      <alignment horizontal="center"/>
    </xf>
    <xf numFmtId="170" fontId="3" fillId="7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2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2" fontId="3" fillId="0" borderId="1" xfId="0" applyNumberFormat="1" applyFont="1" applyBorder="1" applyAlignment="1">
      <alignment horizontal="left"/>
    </xf>
    <xf numFmtId="166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3" fillId="8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3" fillId="7" borderId="1" xfId="0" applyNumberFormat="1" applyFont="1" applyFill="1" applyBorder="1" applyAlignment="1">
      <alignment horizontal="left"/>
    </xf>
    <xf numFmtId="170" fontId="3" fillId="0" borderId="1" xfId="0" applyNumberFormat="1" applyFont="1" applyFill="1" applyBorder="1" applyAlignment="1">
      <alignment horizontal="center"/>
    </xf>
    <xf numFmtId="2" fontId="3" fillId="0" borderId="1" xfId="2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7" fontId="3" fillId="0" borderId="1" xfId="2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1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9" borderId="21" xfId="1" applyFont="1" applyFill="1" applyBorder="1" applyAlignment="1">
      <alignment horizontal="left" vertical="center"/>
    </xf>
    <xf numFmtId="0" fontId="3" fillId="9" borderId="5" xfId="1" applyFont="1" applyFill="1" applyBorder="1" applyAlignment="1">
      <alignment horizontal="left" vertical="center"/>
    </xf>
    <xf numFmtId="0" fontId="3" fillId="9" borderId="22" xfId="1" applyFont="1" applyFill="1" applyBorder="1" applyAlignment="1">
      <alignment vertical="center"/>
    </xf>
    <xf numFmtId="0" fontId="8" fillId="0" borderId="23" xfId="0" applyFont="1" applyBorder="1" applyAlignment="1">
      <alignment horizontal="center"/>
    </xf>
    <xf numFmtId="0" fontId="2" fillId="9" borderId="5" xfId="1" applyFont="1" applyFill="1" applyBorder="1" applyAlignment="1">
      <alignment horizontal="left" vertical="center"/>
    </xf>
    <xf numFmtId="3" fontId="3" fillId="10" borderId="1" xfId="0" applyNumberFormat="1" applyFont="1" applyFill="1" applyBorder="1" applyAlignment="1">
      <alignment horizontal="center"/>
    </xf>
    <xf numFmtId="1" fontId="2" fillId="8" borderId="1" xfId="0" applyNumberFormat="1" applyFont="1" applyFill="1" applyBorder="1" applyAlignment="1">
      <alignment horizontal="center"/>
    </xf>
    <xf numFmtId="4" fontId="3" fillId="10" borderId="1" xfId="0" applyNumberFormat="1" applyFon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/>
    </xf>
    <xf numFmtId="2" fontId="3" fillId="8" borderId="1" xfId="2" applyNumberFormat="1" applyFont="1" applyFill="1" applyBorder="1" applyAlignment="1">
      <alignment horizontal="center"/>
    </xf>
    <xf numFmtId="0" fontId="11" fillId="0" borderId="0" xfId="0" applyFont="1" applyFill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/>
    <xf numFmtId="0" fontId="12" fillId="0" borderId="0" xfId="0" applyFont="1" applyFill="1"/>
    <xf numFmtId="164" fontId="3" fillId="8" borderId="1" xfId="0" applyNumberFormat="1" applyFont="1" applyFill="1" applyBorder="1"/>
    <xf numFmtId="0" fontId="3" fillId="8" borderId="1" xfId="0" applyFont="1" applyFill="1" applyBorder="1"/>
    <xf numFmtId="2" fontId="3" fillId="0" borderId="1" xfId="0" applyNumberFormat="1" applyFont="1" applyFill="1" applyBorder="1"/>
    <xf numFmtId="4" fontId="3" fillId="8" borderId="1" xfId="0" applyNumberFormat="1" applyFont="1" applyFill="1" applyBorder="1"/>
    <xf numFmtId="12" fontId="3" fillId="8" borderId="1" xfId="0" applyNumberFormat="1" applyFon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3" fillId="8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166" fontId="7" fillId="0" borderId="0" xfId="0" applyNumberFormat="1" applyFont="1" applyBorder="1"/>
    <xf numFmtId="12" fontId="3" fillId="0" borderId="1" xfId="0" applyNumberFormat="1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7" fillId="0" borderId="8" xfId="0" applyFont="1" applyFill="1" applyBorder="1"/>
    <xf numFmtId="49" fontId="10" fillId="0" borderId="26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10" fillId="0" borderId="2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0" fontId="7" fillId="0" borderId="14" xfId="0" applyFont="1" applyFill="1" applyBorder="1"/>
    <xf numFmtId="166" fontId="7" fillId="0" borderId="5" xfId="0" applyNumberFormat="1" applyFont="1" applyFill="1" applyBorder="1"/>
    <xf numFmtId="1" fontId="0" fillId="0" borderId="0" xfId="0" applyNumberForma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168" fontId="3" fillId="0" borderId="1" xfId="0" applyNumberFormat="1" applyFont="1" applyBorder="1" applyAlignment="1">
      <alignment horizontal="center"/>
    </xf>
    <xf numFmtId="4" fontId="3" fillId="0" borderId="1" xfId="0" applyNumberFormat="1" applyFont="1" applyFill="1" applyBorder="1"/>
    <xf numFmtId="0" fontId="7" fillId="0" borderId="0" xfId="0" applyFont="1" applyBorder="1" applyAlignment="1">
      <alignment horizontal="center" textRotation="180"/>
    </xf>
    <xf numFmtId="16" fontId="10" fillId="0" borderId="25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32" xfId="0" applyFont="1" applyFill="1" applyBorder="1" applyAlignment="1">
      <alignment horizontal="right"/>
    </xf>
    <xf numFmtId="0" fontId="3" fillId="0" borderId="24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32" xfId="0" applyNumberFormat="1" applyFont="1" applyBorder="1" applyAlignment="1">
      <alignment horizontal="center"/>
    </xf>
    <xf numFmtId="12" fontId="3" fillId="0" borderId="24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2" fillId="12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/>
    </xf>
    <xf numFmtId="3" fontId="3" fillId="4" borderId="33" xfId="0" applyNumberFormat="1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8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6" borderId="45" xfId="0" applyFont="1" applyFill="1" applyBorder="1" applyAlignment="1">
      <alignment horizontal="center"/>
    </xf>
    <xf numFmtId="0" fontId="7" fillId="6" borderId="46" xfId="0" applyFont="1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0" fontId="7" fillId="6" borderId="48" xfId="0" applyFont="1" applyFill="1" applyBorder="1" applyAlignment="1">
      <alignment horizontal="center" vertical="center"/>
    </xf>
    <xf numFmtId="0" fontId="7" fillId="6" borderId="49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3">
    <cellStyle name="Normal" xfId="0" builtinId="0"/>
    <cellStyle name="Normal_ETE-1 Civil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35</xdr:row>
      <xdr:rowOff>19050</xdr:rowOff>
    </xdr:from>
    <xdr:to>
      <xdr:col>9</xdr:col>
      <xdr:colOff>28575</xdr:colOff>
      <xdr:row>43</xdr:row>
      <xdr:rowOff>66675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8562975" y="6553200"/>
          <a:ext cx="542925" cy="1476375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161925</xdr:colOff>
      <xdr:row>36</xdr:row>
      <xdr:rowOff>190500</xdr:rowOff>
    </xdr:from>
    <xdr:to>
      <xdr:col>8</xdr:col>
      <xdr:colOff>381000</xdr:colOff>
      <xdr:row>40</xdr:row>
      <xdr:rowOff>47625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8715375" y="6915150"/>
          <a:ext cx="219075" cy="5238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228600</xdr:colOff>
      <xdr:row>29</xdr:row>
      <xdr:rowOff>0</xdr:rowOff>
    </xdr:from>
    <xdr:to>
      <xdr:col>8</xdr:col>
      <xdr:colOff>304800</xdr:colOff>
      <xdr:row>36</xdr:row>
      <xdr:rowOff>200025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8782050" y="5391150"/>
          <a:ext cx="76200" cy="1524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114300</xdr:colOff>
      <xdr:row>31</xdr:row>
      <xdr:rowOff>0</xdr:rowOff>
    </xdr:from>
    <xdr:to>
      <xdr:col>8</xdr:col>
      <xdr:colOff>0</xdr:colOff>
      <xdr:row>31</xdr:row>
      <xdr:rowOff>9525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V="1">
          <a:off x="8248650" y="5772150"/>
          <a:ext cx="304800" cy="9525"/>
        </a:xfrm>
        <a:prstGeom prst="line">
          <a:avLst/>
        </a:prstGeom>
        <a:noFill/>
        <a:ln w="38100">
          <a:solidFill>
            <a:srgbClr val="339966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17</xdr:col>
      <xdr:colOff>28575</xdr:colOff>
      <xdr:row>31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>
          <a:off x="9077325" y="5772150"/>
          <a:ext cx="4791075" cy="0"/>
        </a:xfrm>
        <a:prstGeom prst="line">
          <a:avLst/>
        </a:prstGeom>
        <a:noFill/>
        <a:ln w="38100">
          <a:solidFill>
            <a:srgbClr val="339966"/>
          </a:solidFill>
          <a:round/>
          <a:headEnd/>
          <a:tailEnd/>
        </a:ln>
      </xdr:spPr>
    </xdr:sp>
    <xdr:clientData/>
  </xdr:twoCellAnchor>
  <xdr:twoCellAnchor>
    <xdr:from>
      <xdr:col>8</xdr:col>
      <xdr:colOff>228600</xdr:colOff>
      <xdr:row>29</xdr:row>
      <xdr:rowOff>0</xdr:rowOff>
    </xdr:from>
    <xdr:to>
      <xdr:col>9</xdr:col>
      <xdr:colOff>228600</xdr:colOff>
      <xdr:row>29</xdr:row>
      <xdr:rowOff>57150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8782050" y="5391150"/>
          <a:ext cx="523875" cy="57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723900</xdr:colOff>
      <xdr:row>31</xdr:row>
      <xdr:rowOff>190500</xdr:rowOff>
    </xdr:from>
    <xdr:to>
      <xdr:col>12</xdr:col>
      <xdr:colOff>504825</xdr:colOff>
      <xdr:row>32</xdr:row>
      <xdr:rowOff>28575</xdr:rowOff>
    </xdr:to>
    <xdr:sp macro="" textlink="">
      <xdr:nvSpPr>
        <xdr:cNvPr id="1035" name="Rectangle 11"/>
        <xdr:cNvSpPr>
          <a:spLocks noChangeArrowheads="1"/>
        </xdr:cNvSpPr>
      </xdr:nvSpPr>
      <xdr:spPr bwMode="auto">
        <a:xfrm flipV="1">
          <a:off x="9667875" y="5962650"/>
          <a:ext cx="1362075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457200</xdr:colOff>
      <xdr:row>10</xdr:row>
      <xdr:rowOff>0</xdr:rowOff>
    </xdr:from>
    <xdr:to>
      <xdr:col>12</xdr:col>
      <xdr:colOff>514350</xdr:colOff>
      <xdr:row>32</xdr:row>
      <xdr:rowOff>28575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10982325" y="1790700"/>
          <a:ext cx="57150" cy="420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228600</xdr:colOff>
      <xdr:row>29</xdr:row>
      <xdr:rowOff>0</xdr:rowOff>
    </xdr:from>
    <xdr:to>
      <xdr:col>9</xdr:col>
      <xdr:colOff>723900</xdr:colOff>
      <xdr:row>31</xdr:row>
      <xdr:rowOff>180975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>
          <a:off x="9305925" y="5391150"/>
          <a:ext cx="36195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228600</xdr:colOff>
      <xdr:row>29</xdr:row>
      <xdr:rowOff>66675</xdr:rowOff>
    </xdr:from>
    <xdr:to>
      <xdr:col>9</xdr:col>
      <xdr:colOff>723900</xdr:colOff>
      <xdr:row>32</xdr:row>
      <xdr:rowOff>28575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>
          <a:off x="9305925" y="5457825"/>
          <a:ext cx="3619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647700</xdr:colOff>
      <xdr:row>16</xdr:row>
      <xdr:rowOff>76200</xdr:rowOff>
    </xdr:from>
    <xdr:to>
      <xdr:col>15</xdr:col>
      <xdr:colOff>104775</xdr:colOff>
      <xdr:row>16</xdr:row>
      <xdr:rowOff>238125</xdr:rowOff>
    </xdr:to>
    <xdr:sp macro="" textlink="">
      <xdr:nvSpPr>
        <xdr:cNvPr id="1042" name="Rectangle 18"/>
        <xdr:cNvSpPr>
          <a:spLocks noChangeArrowheads="1"/>
        </xdr:cNvSpPr>
      </xdr:nvSpPr>
      <xdr:spPr bwMode="auto">
        <a:xfrm>
          <a:off x="11172825" y="3038475"/>
          <a:ext cx="1562100" cy="1619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9525</xdr:colOff>
      <xdr:row>17</xdr:row>
      <xdr:rowOff>0</xdr:rowOff>
    </xdr:from>
    <xdr:to>
      <xdr:col>13</xdr:col>
      <xdr:colOff>200025</xdr:colOff>
      <xdr:row>31</xdr:row>
      <xdr:rowOff>0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11258550" y="3209925"/>
          <a:ext cx="190500" cy="25622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571500</xdr:colOff>
      <xdr:row>17</xdr:row>
      <xdr:rowOff>0</xdr:rowOff>
    </xdr:from>
    <xdr:to>
      <xdr:col>15</xdr:col>
      <xdr:colOff>9525</xdr:colOff>
      <xdr:row>31</xdr:row>
      <xdr:rowOff>0</xdr:rowOff>
    </xdr:to>
    <xdr:sp macro="" textlink="">
      <xdr:nvSpPr>
        <xdr:cNvPr id="1044" name="Rectangle 20"/>
        <xdr:cNvSpPr>
          <a:spLocks noChangeArrowheads="1"/>
        </xdr:cNvSpPr>
      </xdr:nvSpPr>
      <xdr:spPr bwMode="auto">
        <a:xfrm>
          <a:off x="12449175" y="3209925"/>
          <a:ext cx="190500" cy="25622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200025</xdr:colOff>
      <xdr:row>21</xdr:row>
      <xdr:rowOff>66675</xdr:rowOff>
    </xdr:from>
    <xdr:to>
      <xdr:col>14</xdr:col>
      <xdr:colOff>571500</xdr:colOff>
      <xdr:row>21</xdr:row>
      <xdr:rowOff>238125</xdr:rowOff>
    </xdr:to>
    <xdr:sp macro="" textlink="">
      <xdr:nvSpPr>
        <xdr:cNvPr id="1046" name="Rectangle 22"/>
        <xdr:cNvSpPr>
          <a:spLocks noChangeArrowheads="1"/>
        </xdr:cNvSpPr>
      </xdr:nvSpPr>
      <xdr:spPr bwMode="auto">
        <a:xfrm>
          <a:off x="11449050" y="3971925"/>
          <a:ext cx="1000125" cy="1714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200025</xdr:colOff>
      <xdr:row>26</xdr:row>
      <xdr:rowOff>9525</xdr:rowOff>
    </xdr:from>
    <xdr:to>
      <xdr:col>14</xdr:col>
      <xdr:colOff>571500</xdr:colOff>
      <xdr:row>26</xdr:row>
      <xdr:rowOff>190500</xdr:rowOff>
    </xdr:to>
    <xdr:sp macro="" textlink="">
      <xdr:nvSpPr>
        <xdr:cNvPr id="1047" name="Rectangle 23"/>
        <xdr:cNvSpPr>
          <a:spLocks noChangeArrowheads="1"/>
        </xdr:cNvSpPr>
      </xdr:nvSpPr>
      <xdr:spPr bwMode="auto">
        <a:xfrm>
          <a:off x="11449050" y="4829175"/>
          <a:ext cx="1000125" cy="1809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457200</xdr:colOff>
      <xdr:row>10</xdr:row>
      <xdr:rowOff>0</xdr:rowOff>
    </xdr:from>
    <xdr:to>
      <xdr:col>13</xdr:col>
      <xdr:colOff>142875</xdr:colOff>
      <xdr:row>10</xdr:row>
      <xdr:rowOff>76200</xdr:rowOff>
    </xdr:to>
    <xdr:sp macro="" textlink="">
      <xdr:nvSpPr>
        <xdr:cNvPr id="1048" name="Rectangle 24"/>
        <xdr:cNvSpPr>
          <a:spLocks noChangeArrowheads="1"/>
        </xdr:cNvSpPr>
      </xdr:nvSpPr>
      <xdr:spPr bwMode="auto">
        <a:xfrm>
          <a:off x="10982325" y="1790700"/>
          <a:ext cx="40957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66675</xdr:colOff>
      <xdr:row>10</xdr:row>
      <xdr:rowOff>0</xdr:rowOff>
    </xdr:from>
    <xdr:to>
      <xdr:col>13</xdr:col>
      <xdr:colOff>142875</xdr:colOff>
      <xdr:row>10</xdr:row>
      <xdr:rowOff>171450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11315700" y="1790700"/>
          <a:ext cx="7620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600075</xdr:colOff>
      <xdr:row>10</xdr:row>
      <xdr:rowOff>0</xdr:rowOff>
    </xdr:from>
    <xdr:to>
      <xdr:col>13</xdr:col>
      <xdr:colOff>9525</xdr:colOff>
      <xdr:row>16</xdr:row>
      <xdr:rowOff>76200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>
          <a:off x="11125200" y="1790700"/>
          <a:ext cx="133350" cy="12477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142875</xdr:colOff>
      <xdr:row>16</xdr:row>
      <xdr:rowOff>76200</xdr:rowOff>
    </xdr:to>
    <xdr:sp macro="" textlink="">
      <xdr:nvSpPr>
        <xdr:cNvPr id="1051" name="Line 27"/>
        <xdr:cNvSpPr>
          <a:spLocks noChangeShapeType="1"/>
        </xdr:cNvSpPr>
      </xdr:nvSpPr>
      <xdr:spPr bwMode="auto">
        <a:xfrm flipH="1">
          <a:off x="12630150" y="1790700"/>
          <a:ext cx="142875" cy="12477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</xdr:col>
      <xdr:colOff>600075</xdr:colOff>
      <xdr:row>10</xdr:row>
      <xdr:rowOff>0</xdr:rowOff>
    </xdr:from>
    <xdr:to>
      <xdr:col>15</xdr:col>
      <xdr:colOff>123825</xdr:colOff>
      <xdr:row>10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>
          <a:off x="11125200" y="1790700"/>
          <a:ext cx="16287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</xdr:col>
      <xdr:colOff>600075</xdr:colOff>
      <xdr:row>8</xdr:row>
      <xdr:rowOff>0</xdr:rowOff>
    </xdr:from>
    <xdr:to>
      <xdr:col>15</xdr:col>
      <xdr:colOff>142875</xdr:colOff>
      <xdr:row>10</xdr:row>
      <xdr:rowOff>0</xdr:rowOff>
    </xdr:to>
    <xdr:sp macro="" textlink="">
      <xdr:nvSpPr>
        <xdr:cNvPr id="1057" name="Freeform 33"/>
        <xdr:cNvSpPr>
          <a:spLocks/>
        </xdr:cNvSpPr>
      </xdr:nvSpPr>
      <xdr:spPr bwMode="auto">
        <a:xfrm>
          <a:off x="11125200" y="1447800"/>
          <a:ext cx="1647825" cy="342900"/>
        </a:xfrm>
        <a:custGeom>
          <a:avLst/>
          <a:gdLst/>
          <a:ahLst/>
          <a:cxnLst>
            <a:cxn ang="0">
              <a:pos x="0" y="39"/>
            </a:cxn>
            <a:cxn ang="0">
              <a:pos x="97" y="0"/>
            </a:cxn>
            <a:cxn ang="0">
              <a:pos x="192" y="39"/>
            </a:cxn>
          </a:cxnLst>
          <a:rect l="0" t="0" r="r" b="b"/>
          <a:pathLst>
            <a:path w="192" h="39">
              <a:moveTo>
                <a:pt x="0" y="39"/>
              </a:moveTo>
              <a:cubicBezTo>
                <a:pt x="32" y="19"/>
                <a:pt x="65" y="0"/>
                <a:pt x="97" y="0"/>
              </a:cubicBezTo>
              <a:cubicBezTo>
                <a:pt x="129" y="0"/>
                <a:pt x="160" y="19"/>
                <a:pt x="192" y="39"/>
              </a:cubicBezTo>
            </a:path>
          </a:pathLst>
        </a:cu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</xdr:col>
      <xdr:colOff>619125</xdr:colOff>
      <xdr:row>31</xdr:row>
      <xdr:rowOff>9525</xdr:rowOff>
    </xdr:from>
    <xdr:to>
      <xdr:col>12</xdr:col>
      <xdr:colOff>619125</xdr:colOff>
      <xdr:row>37</xdr:row>
      <xdr:rowOff>66675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>
          <a:off x="11144250" y="5781675"/>
          <a:ext cx="0" cy="12001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8</xdr:col>
      <xdr:colOff>304800</xdr:colOff>
      <xdr:row>30</xdr:row>
      <xdr:rowOff>95250</xdr:rowOff>
    </xdr:from>
    <xdr:to>
      <xdr:col>9</xdr:col>
      <xdr:colOff>28575</xdr:colOff>
      <xdr:row>35</xdr:row>
      <xdr:rowOff>28575</xdr:rowOff>
    </xdr:to>
    <xdr:sp macro="" textlink="">
      <xdr:nvSpPr>
        <xdr:cNvPr id="1064" name="Rectangle 40"/>
        <xdr:cNvSpPr>
          <a:spLocks noChangeArrowheads="1"/>
        </xdr:cNvSpPr>
      </xdr:nvSpPr>
      <xdr:spPr bwMode="auto">
        <a:xfrm>
          <a:off x="8858250" y="5676900"/>
          <a:ext cx="247650" cy="885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30</xdr:row>
      <xdr:rowOff>95250</xdr:rowOff>
    </xdr:from>
    <xdr:to>
      <xdr:col>8</xdr:col>
      <xdr:colOff>228600</xdr:colOff>
      <xdr:row>35</xdr:row>
      <xdr:rowOff>28575</xdr:rowOff>
    </xdr:to>
    <xdr:sp macro="" textlink="">
      <xdr:nvSpPr>
        <xdr:cNvPr id="1066" name="Rectangle 42"/>
        <xdr:cNvSpPr>
          <a:spLocks noChangeArrowheads="1"/>
        </xdr:cNvSpPr>
      </xdr:nvSpPr>
      <xdr:spPr bwMode="auto">
        <a:xfrm>
          <a:off x="8562975" y="5676900"/>
          <a:ext cx="219075" cy="885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428625</xdr:colOff>
      <xdr:row>31</xdr:row>
      <xdr:rowOff>0</xdr:rowOff>
    </xdr:from>
    <xdr:to>
      <xdr:col>9</xdr:col>
      <xdr:colOff>428625</xdr:colOff>
      <xdr:row>35</xdr:row>
      <xdr:rowOff>9525</xdr:rowOff>
    </xdr:to>
    <xdr:sp macro="" textlink="">
      <xdr:nvSpPr>
        <xdr:cNvPr id="1067" name="Line 43"/>
        <xdr:cNvSpPr>
          <a:spLocks noChangeShapeType="1"/>
        </xdr:cNvSpPr>
      </xdr:nvSpPr>
      <xdr:spPr bwMode="auto">
        <a:xfrm>
          <a:off x="9505950" y="5772150"/>
          <a:ext cx="0" cy="771525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15</xdr:col>
      <xdr:colOff>381000</xdr:colOff>
      <xdr:row>10</xdr:row>
      <xdr:rowOff>0</xdr:rowOff>
    </xdr:from>
    <xdr:to>
      <xdr:col>15</xdr:col>
      <xdr:colOff>381000</xdr:colOff>
      <xdr:row>31</xdr:row>
      <xdr:rowOff>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>
          <a:off x="13011150" y="1790700"/>
          <a:ext cx="0" cy="39814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15</xdr:col>
      <xdr:colOff>390525</xdr:colOff>
      <xdr:row>31</xdr:row>
      <xdr:rowOff>28575</xdr:rowOff>
    </xdr:from>
    <xdr:to>
      <xdr:col>15</xdr:col>
      <xdr:colOff>390525</xdr:colOff>
      <xdr:row>43</xdr:row>
      <xdr:rowOff>66675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>
          <a:off x="13020675" y="5800725"/>
          <a:ext cx="0" cy="22288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 editAs="oneCell">
    <xdr:from>
      <xdr:col>16</xdr:col>
      <xdr:colOff>0</xdr:colOff>
      <xdr:row>32</xdr:row>
      <xdr:rowOff>180975</xdr:rowOff>
    </xdr:from>
    <xdr:to>
      <xdr:col>17</xdr:col>
      <xdr:colOff>523875</xdr:colOff>
      <xdr:row>34</xdr:row>
      <xdr:rowOff>171450</xdr:rowOff>
    </xdr:to>
    <xdr:sp macro="" textlink="">
      <xdr:nvSpPr>
        <xdr:cNvPr id="1070" name="AutoShape 46"/>
        <xdr:cNvSpPr>
          <a:spLocks noChangeArrowheads="1"/>
        </xdr:cNvSpPr>
      </xdr:nvSpPr>
      <xdr:spPr bwMode="auto">
        <a:xfrm>
          <a:off x="13315950" y="6143625"/>
          <a:ext cx="1047750" cy="371475"/>
        </a:xfrm>
        <a:prstGeom prst="wedgeRectCallout">
          <a:avLst>
            <a:gd name="adj1" fmla="val -49093"/>
            <a:gd name="adj2" fmla="val 11410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PROFUNDIDADE DO POÇO (m)</a:t>
          </a:r>
        </a:p>
      </xdr:txBody>
    </xdr:sp>
    <xdr:clientData/>
  </xdr:twoCellAnchor>
  <xdr:twoCellAnchor editAs="oneCell">
    <xdr:from>
      <xdr:col>9</xdr:col>
      <xdr:colOff>514350</xdr:colOff>
      <xdr:row>35</xdr:row>
      <xdr:rowOff>28575</xdr:rowOff>
    </xdr:from>
    <xdr:to>
      <xdr:col>11</xdr:col>
      <xdr:colOff>219075</xdr:colOff>
      <xdr:row>37</xdr:row>
      <xdr:rowOff>0</xdr:rowOff>
    </xdr:to>
    <xdr:sp macro="" textlink="">
      <xdr:nvSpPr>
        <xdr:cNvPr id="1071" name="AutoShape 47"/>
        <xdr:cNvSpPr>
          <a:spLocks noChangeArrowheads="1"/>
        </xdr:cNvSpPr>
      </xdr:nvSpPr>
      <xdr:spPr bwMode="auto">
        <a:xfrm>
          <a:off x="9591675" y="6562725"/>
          <a:ext cx="885825" cy="352425"/>
        </a:xfrm>
        <a:prstGeom prst="wedgeRectCallout">
          <a:avLst>
            <a:gd name="adj1" fmla="val -47847"/>
            <a:gd name="adj2" fmla="val -11486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NÍVEL DINÂMICO (m)</a:t>
          </a:r>
        </a:p>
      </xdr:txBody>
    </xdr:sp>
    <xdr:clientData/>
  </xdr:twoCellAnchor>
  <xdr:twoCellAnchor editAs="oneCell">
    <xdr:from>
      <xdr:col>13</xdr:col>
      <xdr:colOff>152400</xdr:colOff>
      <xdr:row>35</xdr:row>
      <xdr:rowOff>142875</xdr:rowOff>
    </xdr:from>
    <xdr:to>
      <xdr:col>15</xdr:col>
      <xdr:colOff>342900</xdr:colOff>
      <xdr:row>38</xdr:row>
      <xdr:rowOff>76200</xdr:rowOff>
    </xdr:to>
    <xdr:sp macro="" textlink="">
      <xdr:nvSpPr>
        <xdr:cNvPr id="1072" name="AutoShape 48"/>
        <xdr:cNvSpPr>
          <a:spLocks noChangeArrowheads="1"/>
        </xdr:cNvSpPr>
      </xdr:nvSpPr>
      <xdr:spPr bwMode="auto">
        <a:xfrm>
          <a:off x="11401425" y="6677025"/>
          <a:ext cx="1571625" cy="504825"/>
        </a:xfrm>
        <a:prstGeom prst="wedgeRectCallout">
          <a:avLst>
            <a:gd name="adj1" fmla="val -62120"/>
            <a:gd name="adj2" fmla="val -12169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PROFUNDIDADE DE COLOCAÇÃO DA BOMBA SUBMERSA (m)</a:t>
          </a:r>
        </a:p>
        <a:p>
          <a:pPr algn="l" rtl="0">
            <a:defRPr sz="1000"/>
          </a:pPr>
          <a:endParaRPr lang="pt-BR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0</xdr:colOff>
      <xdr:row>16</xdr:row>
      <xdr:rowOff>38100</xdr:rowOff>
    </xdr:from>
    <xdr:to>
      <xdr:col>17</xdr:col>
      <xdr:colOff>238125</xdr:colOff>
      <xdr:row>19</xdr:row>
      <xdr:rowOff>171450</xdr:rowOff>
    </xdr:to>
    <xdr:sp macro="" textlink="">
      <xdr:nvSpPr>
        <xdr:cNvPr id="1073" name="AutoShape 49"/>
        <xdr:cNvSpPr>
          <a:spLocks noChangeArrowheads="1"/>
        </xdr:cNvSpPr>
      </xdr:nvSpPr>
      <xdr:spPr bwMode="auto">
        <a:xfrm>
          <a:off x="13315950" y="3000375"/>
          <a:ext cx="762000" cy="666750"/>
        </a:xfrm>
        <a:prstGeom prst="wedgeRectCallout">
          <a:avLst>
            <a:gd name="adj1" fmla="val -22500"/>
            <a:gd name="adj2" fmla="val 8856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ALTURA DE RECALQUE ACIMA DO POÇO (m)</a:t>
          </a:r>
        </a:p>
      </xdr:txBody>
    </xdr:sp>
    <xdr:clientData/>
  </xdr:twoCellAnchor>
  <xdr:twoCellAnchor>
    <xdr:from>
      <xdr:col>9</xdr:col>
      <xdr:colOff>266700</xdr:colOff>
      <xdr:row>27</xdr:row>
      <xdr:rowOff>152400</xdr:rowOff>
    </xdr:from>
    <xdr:to>
      <xdr:col>11</xdr:col>
      <xdr:colOff>28575</xdr:colOff>
      <xdr:row>30</xdr:row>
      <xdr:rowOff>66675</xdr:rowOff>
    </xdr:to>
    <xdr:sp macro="" textlink="">
      <xdr:nvSpPr>
        <xdr:cNvPr id="1075" name="Line 51"/>
        <xdr:cNvSpPr>
          <a:spLocks noChangeShapeType="1"/>
        </xdr:cNvSpPr>
      </xdr:nvSpPr>
      <xdr:spPr bwMode="auto">
        <a:xfrm>
          <a:off x="9344025" y="5162550"/>
          <a:ext cx="942975" cy="485775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28575</xdr:colOff>
      <xdr:row>30</xdr:row>
      <xdr:rowOff>76200</xdr:rowOff>
    </xdr:from>
    <xdr:to>
      <xdr:col>12</xdr:col>
      <xdr:colOff>371475</xdr:colOff>
      <xdr:row>30</xdr:row>
      <xdr:rowOff>76200</xdr:rowOff>
    </xdr:to>
    <xdr:sp macro="" textlink="">
      <xdr:nvSpPr>
        <xdr:cNvPr id="1076" name="Line 52"/>
        <xdr:cNvSpPr>
          <a:spLocks noChangeShapeType="1"/>
        </xdr:cNvSpPr>
      </xdr:nvSpPr>
      <xdr:spPr bwMode="auto">
        <a:xfrm>
          <a:off x="10287000" y="5657850"/>
          <a:ext cx="60960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8</xdr:col>
      <xdr:colOff>219075</xdr:colOff>
      <xdr:row>27</xdr:row>
      <xdr:rowOff>152400</xdr:rowOff>
    </xdr:from>
    <xdr:to>
      <xdr:col>9</xdr:col>
      <xdr:colOff>257175</xdr:colOff>
      <xdr:row>27</xdr:row>
      <xdr:rowOff>152400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 flipH="1">
          <a:off x="8772525" y="5162550"/>
          <a:ext cx="56197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352425</xdr:colOff>
      <xdr:row>10</xdr:row>
      <xdr:rowOff>0</xdr:rowOff>
    </xdr:from>
    <xdr:to>
      <xdr:col>12</xdr:col>
      <xdr:colOff>352425</xdr:colOff>
      <xdr:row>30</xdr:row>
      <xdr:rowOff>76200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 flipV="1">
          <a:off x="10877550" y="1790700"/>
          <a:ext cx="0" cy="386715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9</xdr:col>
      <xdr:colOff>152400</xdr:colOff>
      <xdr:row>15</xdr:row>
      <xdr:rowOff>9525</xdr:rowOff>
    </xdr:from>
    <xdr:to>
      <xdr:col>11</xdr:col>
      <xdr:colOff>190500</xdr:colOff>
      <xdr:row>19</xdr:row>
      <xdr:rowOff>19050</xdr:rowOff>
    </xdr:to>
    <xdr:sp macro="" textlink="">
      <xdr:nvSpPr>
        <xdr:cNvPr id="1082" name="AutoShape 58"/>
        <xdr:cNvSpPr>
          <a:spLocks noChangeArrowheads="1"/>
        </xdr:cNvSpPr>
      </xdr:nvSpPr>
      <xdr:spPr bwMode="auto">
        <a:xfrm>
          <a:off x="9229725" y="2752725"/>
          <a:ext cx="1219200" cy="762000"/>
        </a:xfrm>
        <a:prstGeom prst="wedgeRectCallout">
          <a:avLst>
            <a:gd name="adj1" fmla="val 80468"/>
            <a:gd name="adj2" fmla="val 9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COMPRIMENTO DA TUBULAÇÃO DE RECALQUE ACIMA DO POÇO (m)</a:t>
          </a:r>
        </a:p>
      </xdr:txBody>
    </xdr:sp>
    <xdr:clientData/>
  </xdr:twoCellAnchor>
  <xdr:twoCellAnchor>
    <xdr:from>
      <xdr:col>8</xdr:col>
      <xdr:colOff>161925</xdr:colOff>
      <xdr:row>38</xdr:row>
      <xdr:rowOff>28575</xdr:rowOff>
    </xdr:from>
    <xdr:to>
      <xdr:col>8</xdr:col>
      <xdr:colOff>381000</xdr:colOff>
      <xdr:row>38</xdr:row>
      <xdr:rowOff>104775</xdr:rowOff>
    </xdr:to>
    <xdr:sp macro="" textlink="">
      <xdr:nvSpPr>
        <xdr:cNvPr id="1083" name="Rectangle 59"/>
        <xdr:cNvSpPr>
          <a:spLocks noChangeArrowheads="1"/>
        </xdr:cNvSpPr>
      </xdr:nvSpPr>
      <xdr:spPr bwMode="auto">
        <a:xfrm>
          <a:off x="8715375" y="7134225"/>
          <a:ext cx="21907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44</xdr:row>
      <xdr:rowOff>28575</xdr:rowOff>
    </xdr:from>
    <xdr:to>
      <xdr:col>9</xdr:col>
      <xdr:colOff>9525</xdr:colOff>
      <xdr:row>44</xdr:row>
      <xdr:rowOff>28575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>
          <a:off x="8553450" y="8181975"/>
          <a:ext cx="533400" cy="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oneCellAnchor>
    <xdr:from>
      <xdr:col>9</xdr:col>
      <xdr:colOff>190500</xdr:colOff>
      <xdr:row>42</xdr:row>
      <xdr:rowOff>0</xdr:rowOff>
    </xdr:from>
    <xdr:ext cx="1336648" cy="170560"/>
    <xdr:sp macro="" textlink="">
      <xdr:nvSpPr>
        <xdr:cNvPr id="1085" name="AutoShape 61"/>
        <xdr:cNvSpPr>
          <a:spLocks noChangeArrowheads="1"/>
        </xdr:cNvSpPr>
      </xdr:nvSpPr>
      <xdr:spPr bwMode="auto">
        <a:xfrm>
          <a:off x="9267825" y="7772400"/>
          <a:ext cx="1336648" cy="170560"/>
        </a:xfrm>
        <a:prstGeom prst="wedgeRectCallout">
          <a:avLst>
            <a:gd name="adj1" fmla="val -75000"/>
            <a:gd name="adj2" fmla="val 1642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DIÂMETRO DO POÇO</a:t>
          </a:r>
        </a:p>
      </xdr:txBody>
    </xdr:sp>
    <xdr:clientData/>
  </xdr:oneCellAnchor>
  <xdr:twoCellAnchor>
    <xdr:from>
      <xdr:col>15</xdr:col>
      <xdr:colOff>371475</xdr:colOff>
      <xdr:row>7</xdr:row>
      <xdr:rowOff>0</xdr:rowOff>
    </xdr:from>
    <xdr:to>
      <xdr:col>15</xdr:col>
      <xdr:colOff>371475</xdr:colOff>
      <xdr:row>9</xdr:row>
      <xdr:rowOff>76200</xdr:rowOff>
    </xdr:to>
    <xdr:sp macro="" textlink="">
      <xdr:nvSpPr>
        <xdr:cNvPr id="1087" name="Line 63"/>
        <xdr:cNvSpPr>
          <a:spLocks noChangeShapeType="1"/>
        </xdr:cNvSpPr>
      </xdr:nvSpPr>
      <xdr:spPr bwMode="auto">
        <a:xfrm flipV="1">
          <a:off x="13001625" y="1257300"/>
          <a:ext cx="0" cy="5143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 editAs="oneCell">
    <xdr:from>
      <xdr:col>15</xdr:col>
      <xdr:colOff>466725</xdr:colOff>
      <xdr:row>4</xdr:row>
      <xdr:rowOff>114300</xdr:rowOff>
    </xdr:from>
    <xdr:to>
      <xdr:col>17</xdr:col>
      <xdr:colOff>180975</xdr:colOff>
      <xdr:row>7</xdr:row>
      <xdr:rowOff>57150</xdr:rowOff>
    </xdr:to>
    <xdr:sp macro="" textlink="">
      <xdr:nvSpPr>
        <xdr:cNvPr id="1088" name="AutoShape 64"/>
        <xdr:cNvSpPr>
          <a:spLocks noChangeArrowheads="1"/>
        </xdr:cNvSpPr>
      </xdr:nvSpPr>
      <xdr:spPr bwMode="auto">
        <a:xfrm>
          <a:off x="13096875" y="790575"/>
          <a:ext cx="923925" cy="523875"/>
        </a:xfrm>
        <a:prstGeom prst="wedgeRectCallout">
          <a:avLst>
            <a:gd name="adj1" fmla="val -6944"/>
            <a:gd name="adj2" fmla="val 642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PERDA DE CARGA TOTAL (mca)</a:t>
          </a:r>
        </a:p>
      </xdr:txBody>
    </xdr:sp>
    <xdr:clientData/>
  </xdr:twoCellAnchor>
  <xdr:twoCellAnchor>
    <xdr:from>
      <xdr:col>17</xdr:col>
      <xdr:colOff>714375</xdr:colOff>
      <xdr:row>8</xdr:row>
      <xdr:rowOff>190500</xdr:rowOff>
    </xdr:from>
    <xdr:to>
      <xdr:col>17</xdr:col>
      <xdr:colOff>714375</xdr:colOff>
      <xdr:row>34</xdr:row>
      <xdr:rowOff>209550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 flipH="1">
          <a:off x="14554200" y="1638300"/>
          <a:ext cx="0" cy="48958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 editAs="oneCell">
    <xdr:from>
      <xdr:col>18</xdr:col>
      <xdr:colOff>95250</xdr:colOff>
      <xdr:row>18</xdr:row>
      <xdr:rowOff>95250</xdr:rowOff>
    </xdr:from>
    <xdr:to>
      <xdr:col>20</xdr:col>
      <xdr:colOff>47625</xdr:colOff>
      <xdr:row>21</xdr:row>
      <xdr:rowOff>57150</xdr:rowOff>
    </xdr:to>
    <xdr:sp macro="" textlink="">
      <xdr:nvSpPr>
        <xdr:cNvPr id="1090" name="AutoShape 66"/>
        <xdr:cNvSpPr>
          <a:spLocks noChangeArrowheads="1"/>
        </xdr:cNvSpPr>
      </xdr:nvSpPr>
      <xdr:spPr bwMode="auto">
        <a:xfrm>
          <a:off x="14649450" y="3400425"/>
          <a:ext cx="1190625" cy="561975"/>
        </a:xfrm>
        <a:prstGeom prst="wedgeRectCallout">
          <a:avLst>
            <a:gd name="adj1" fmla="val -50000"/>
            <a:gd name="adj2" fmla="val 9915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ALTURA MANOMETRICA DE RECALQUE (m)</a:t>
          </a:r>
        </a:p>
      </xdr:txBody>
    </xdr:sp>
    <xdr:clientData/>
  </xdr:twoCellAnchor>
  <xdr:twoCellAnchor>
    <xdr:from>
      <xdr:col>8</xdr:col>
      <xdr:colOff>66675</xdr:colOff>
      <xdr:row>25</xdr:row>
      <xdr:rowOff>0</xdr:rowOff>
    </xdr:from>
    <xdr:to>
      <xdr:col>8</xdr:col>
      <xdr:colOff>485775</xdr:colOff>
      <xdr:row>27</xdr:row>
      <xdr:rowOff>85725</xdr:rowOff>
    </xdr:to>
    <xdr:sp macro="" textlink="">
      <xdr:nvSpPr>
        <xdr:cNvPr id="1092" name="AutoShape 68"/>
        <xdr:cNvSpPr>
          <a:spLocks noChangeArrowheads="1"/>
        </xdr:cNvSpPr>
      </xdr:nvSpPr>
      <xdr:spPr bwMode="auto">
        <a:xfrm>
          <a:off x="8620125" y="4629150"/>
          <a:ext cx="419100" cy="466725"/>
        </a:xfrm>
        <a:custGeom>
          <a:avLst/>
          <a:gdLst>
            <a:gd name="G0" fmla="+- 15126 0 0"/>
            <a:gd name="G1" fmla="+- 2912 0 0"/>
            <a:gd name="G2" fmla="+- 12158 0 2912"/>
            <a:gd name="G3" fmla="+- G2 0 2912"/>
            <a:gd name="G4" fmla="*/ G3 32768 32059"/>
            <a:gd name="G5" fmla="*/ G4 1 2"/>
            <a:gd name="G6" fmla="+- 21600 0 15126"/>
            <a:gd name="G7" fmla="*/ G6 2912 6079"/>
            <a:gd name="G8" fmla="+- G7 15126 0"/>
            <a:gd name="T0" fmla="*/ 15126 w 21600"/>
            <a:gd name="T1" fmla="*/ 0 h 21600"/>
            <a:gd name="T2" fmla="*/ 15126 w 21600"/>
            <a:gd name="T3" fmla="*/ 12158 h 21600"/>
            <a:gd name="T4" fmla="*/ 3237 w 21600"/>
            <a:gd name="T5" fmla="*/ 21600 h 21600"/>
            <a:gd name="T6" fmla="*/ 21600 w 21600"/>
            <a:gd name="T7" fmla="*/ 6079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G1 h 21600"/>
            <a:gd name="T14" fmla="*/ G8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15126" y="0"/>
              </a:lnTo>
              <a:lnTo>
                <a:pt x="15126" y="2912"/>
              </a:lnTo>
              <a:lnTo>
                <a:pt x="12427" y="2912"/>
              </a:lnTo>
              <a:cubicBezTo>
                <a:pt x="5564" y="2912"/>
                <a:pt x="0" y="7052"/>
                <a:pt x="0" y="12158"/>
              </a:cubicBezTo>
              <a:lnTo>
                <a:pt x="0" y="21600"/>
              </a:lnTo>
              <a:lnTo>
                <a:pt x="6474" y="21600"/>
              </a:lnTo>
              <a:lnTo>
                <a:pt x="6474" y="12158"/>
              </a:lnTo>
              <a:cubicBezTo>
                <a:pt x="6474" y="10550"/>
                <a:pt x="9139" y="9246"/>
                <a:pt x="12427" y="9246"/>
              </a:cubicBezTo>
              <a:lnTo>
                <a:pt x="15126" y="9246"/>
              </a:lnTo>
              <a:lnTo>
                <a:pt x="15126" y="12158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38100</xdr:colOff>
      <xdr:row>21</xdr:row>
      <xdr:rowOff>47625</xdr:rowOff>
    </xdr:from>
    <xdr:to>
      <xdr:col>9</xdr:col>
      <xdr:colOff>47625</xdr:colOff>
      <xdr:row>23</xdr:row>
      <xdr:rowOff>76200</xdr:rowOff>
    </xdr:to>
    <xdr:sp macro="" textlink="">
      <xdr:nvSpPr>
        <xdr:cNvPr id="1093" name="AutoShape 69"/>
        <xdr:cNvSpPr>
          <a:spLocks noChangeArrowheads="1"/>
        </xdr:cNvSpPr>
      </xdr:nvSpPr>
      <xdr:spPr bwMode="auto">
        <a:xfrm>
          <a:off x="8172450" y="3952875"/>
          <a:ext cx="952500" cy="371475"/>
        </a:xfrm>
        <a:prstGeom prst="wedgeRectCallout">
          <a:avLst>
            <a:gd name="adj1" fmla="val 70000"/>
            <a:gd name="adj2" fmla="val 13205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VAZÃO DA BOMBA (m</a:t>
          </a:r>
          <a:r>
            <a:rPr lang="pt-BR" sz="1000" b="0" i="0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/h)</a:t>
          </a:r>
        </a:p>
      </xdr:txBody>
    </xdr:sp>
    <xdr:clientData/>
  </xdr:twoCellAnchor>
  <xdr:twoCellAnchor editAs="oneCell">
    <xdr:from>
      <xdr:col>13</xdr:col>
      <xdr:colOff>190500</xdr:colOff>
      <xdr:row>10</xdr:row>
      <xdr:rowOff>142875</xdr:rowOff>
    </xdr:from>
    <xdr:to>
      <xdr:col>14</xdr:col>
      <xdr:colOff>619125</xdr:colOff>
      <xdr:row>13</xdr:row>
      <xdr:rowOff>47625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1439525" y="1933575"/>
          <a:ext cx="10572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VOLUME DE RESERVAÇÃO (litros)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8"/>
  <sheetViews>
    <sheetView tabSelected="1" topLeftCell="A127" zoomScaleNormal="75" workbookViewId="0">
      <selection activeCell="C3" sqref="C3"/>
    </sheetView>
  </sheetViews>
  <sheetFormatPr defaultColWidth="11.42578125" defaultRowHeight="23.25" customHeight="1" x14ac:dyDescent="0.2"/>
  <cols>
    <col min="1" max="1" width="32.28515625" style="1" customWidth="1"/>
    <col min="2" max="2" width="30.28515625" style="1" customWidth="1"/>
    <col min="3" max="3" width="10.28515625" style="2" customWidth="1"/>
    <col min="4" max="4" width="11.42578125" style="3" customWidth="1"/>
    <col min="5" max="5" width="12" style="4" customWidth="1"/>
    <col min="6" max="6" width="24.7109375" style="1" customWidth="1"/>
    <col min="7" max="7" width="4.85546875" style="1" customWidth="1"/>
    <col min="8" max="8" width="6.28515625" style="1" customWidth="1"/>
    <col min="9" max="9" width="7.85546875" style="1" customWidth="1"/>
    <col min="10" max="11" width="8.85546875" style="1" customWidth="1"/>
    <col min="12" max="12" width="4" style="1" customWidth="1"/>
    <col min="13" max="13" width="10.85546875" style="1" customWidth="1"/>
    <col min="14" max="14" width="9.42578125" style="1" customWidth="1"/>
    <col min="15" max="15" width="11.28515625" style="1" customWidth="1"/>
    <col min="16" max="16" width="10.28515625" style="1" customWidth="1"/>
    <col min="17" max="17" width="7.85546875" style="1" customWidth="1"/>
    <col min="18" max="18" width="10.7109375" style="1" customWidth="1"/>
    <col min="19" max="23" width="9.28515625" style="1" customWidth="1"/>
    <col min="24" max="16384" width="11.42578125" style="1"/>
  </cols>
  <sheetData>
    <row r="1" spans="1:17" ht="20.45" customHeight="1" x14ac:dyDescent="0.2">
      <c r="A1" s="172" t="s">
        <v>276</v>
      </c>
      <c r="B1" s="172"/>
      <c r="C1" s="172"/>
      <c r="D1" s="172"/>
      <c r="E1" s="172"/>
      <c r="F1" s="172"/>
    </row>
    <row r="2" spans="1:17" ht="9" customHeight="1" x14ac:dyDescent="0.2"/>
    <row r="3" spans="1:17" s="5" customFormat="1" ht="18" customHeight="1" x14ac:dyDescent="0.2">
      <c r="A3" s="110"/>
      <c r="B3" s="111"/>
      <c r="C3" s="114" t="s">
        <v>277</v>
      </c>
      <c r="D3" s="114"/>
      <c r="E3" s="114"/>
      <c r="F3" s="112"/>
    </row>
    <row r="4" spans="1:17" s="5" customFormat="1" ht="6" customHeight="1" x14ac:dyDescent="0.2">
      <c r="A4" s="104"/>
      <c r="B4" s="105"/>
      <c r="C4" s="106"/>
      <c r="D4" s="106"/>
      <c r="E4" s="106"/>
    </row>
    <row r="5" spans="1:17" ht="20.45" customHeight="1" x14ac:dyDescent="0.2">
      <c r="A5" s="173" t="s">
        <v>145</v>
      </c>
      <c r="B5" s="173"/>
      <c r="C5" s="173"/>
      <c r="D5" s="173"/>
      <c r="E5" s="173"/>
      <c r="F5" s="173"/>
    </row>
    <row r="6" spans="1:17" ht="4.5" customHeight="1" x14ac:dyDescent="0.2">
      <c r="A6" s="6"/>
      <c r="B6" s="6"/>
      <c r="C6" s="7"/>
      <c r="D6" s="8"/>
      <c r="E6" s="9"/>
    </row>
    <row r="7" spans="1:17" ht="21" customHeight="1" x14ac:dyDescent="0.2">
      <c r="A7" s="173" t="s">
        <v>30</v>
      </c>
      <c r="B7" s="173"/>
      <c r="C7" s="173"/>
      <c r="D7" s="173"/>
      <c r="E7" s="173"/>
      <c r="F7" s="173"/>
    </row>
    <row r="8" spans="1:17" ht="15" customHeight="1" x14ac:dyDescent="0.2">
      <c r="A8" s="6"/>
      <c r="B8" s="6"/>
      <c r="C8" s="7"/>
      <c r="D8" s="8"/>
      <c r="E8" s="9"/>
    </row>
    <row r="9" spans="1:17" ht="19.5" customHeight="1" x14ac:dyDescent="0.2">
      <c r="A9" s="178" t="s">
        <v>58</v>
      </c>
      <c r="B9" s="178"/>
      <c r="C9" s="178"/>
      <c r="D9" s="178"/>
      <c r="E9" s="178"/>
      <c r="F9" s="178"/>
      <c r="Q9" s="43">
        <f>D81</f>
        <v>1.79911745663955</v>
      </c>
    </row>
    <row r="10" spans="1:17" ht="7.5" customHeight="1" x14ac:dyDescent="0.2">
      <c r="A10" s="6"/>
      <c r="B10" s="6"/>
      <c r="C10" s="7"/>
      <c r="D10" s="8"/>
      <c r="E10" s="9"/>
    </row>
    <row r="11" spans="1:17" ht="15" customHeight="1" x14ac:dyDescent="0.2">
      <c r="A11" s="177" t="s">
        <v>131</v>
      </c>
      <c r="B11" s="177"/>
      <c r="C11" s="183" t="s">
        <v>135</v>
      </c>
      <c r="D11" s="103"/>
      <c r="E11" s="78"/>
      <c r="F11" s="75"/>
    </row>
    <row r="12" spans="1:17" ht="15" customHeight="1" x14ac:dyDescent="0.2">
      <c r="A12" s="177"/>
      <c r="B12" s="177"/>
      <c r="C12" s="183"/>
      <c r="D12" s="119">
        <v>2.94</v>
      </c>
      <c r="E12" s="78" t="s">
        <v>133</v>
      </c>
      <c r="F12" s="75"/>
      <c r="N12" s="15"/>
      <c r="O12" s="15"/>
    </row>
    <row r="13" spans="1:17" ht="15" customHeight="1" x14ac:dyDescent="0.2">
      <c r="A13" s="165" t="s">
        <v>3</v>
      </c>
      <c r="B13" s="165"/>
      <c r="C13" s="10" t="s">
        <v>63</v>
      </c>
      <c r="D13" s="115">
        <v>5</v>
      </c>
      <c r="E13" s="78" t="s">
        <v>1</v>
      </c>
      <c r="F13" s="75"/>
      <c r="N13" s="15"/>
      <c r="O13" s="15"/>
    </row>
    <row r="14" spans="1:17" ht="15" customHeight="1" x14ac:dyDescent="0.2">
      <c r="A14" s="165" t="s">
        <v>259</v>
      </c>
      <c r="B14" s="165"/>
      <c r="C14" s="10" t="s">
        <v>132</v>
      </c>
      <c r="D14" s="115">
        <v>9</v>
      </c>
      <c r="E14" s="78" t="s">
        <v>0</v>
      </c>
      <c r="F14" s="75"/>
      <c r="N14" s="188">
        <f>D106</f>
        <v>2000</v>
      </c>
      <c r="O14" s="189"/>
    </row>
    <row r="15" spans="1:17" ht="15" customHeight="1" x14ac:dyDescent="0.2">
      <c r="A15" s="165" t="s">
        <v>138</v>
      </c>
      <c r="B15" s="165"/>
      <c r="C15" s="116">
        <v>2018</v>
      </c>
      <c r="D15" s="73">
        <f>D13*D14</f>
        <v>45</v>
      </c>
      <c r="E15" s="74" t="s">
        <v>2</v>
      </c>
      <c r="F15" s="75"/>
      <c r="N15" s="15"/>
      <c r="O15" s="15"/>
    </row>
    <row r="16" spans="1:17" ht="17.25" customHeight="1" x14ac:dyDescent="0.2">
      <c r="A16" s="8"/>
      <c r="B16" s="8"/>
      <c r="C16" s="16"/>
      <c r="D16" s="17"/>
      <c r="E16" s="18"/>
      <c r="N16" s="15"/>
      <c r="O16" s="15"/>
    </row>
    <row r="17" spans="1:19" ht="19.5" customHeight="1" x14ac:dyDescent="0.2">
      <c r="A17" s="178" t="s">
        <v>146</v>
      </c>
      <c r="B17" s="178"/>
      <c r="C17" s="178"/>
      <c r="D17" s="178"/>
      <c r="E17" s="178"/>
      <c r="F17" s="178"/>
      <c r="N17" s="15"/>
      <c r="O17" s="15"/>
      <c r="Q17" s="15"/>
    </row>
    <row r="18" spans="1:19" ht="7.5" customHeight="1" x14ac:dyDescent="0.2">
      <c r="A18" s="6"/>
      <c r="B18" s="6"/>
      <c r="C18" s="7"/>
      <c r="D18" s="8"/>
      <c r="E18" s="9"/>
    </row>
    <row r="19" spans="1:19" ht="15" customHeight="1" x14ac:dyDescent="0.2">
      <c r="A19" s="165" t="s">
        <v>134</v>
      </c>
      <c r="B19" s="165"/>
      <c r="C19" s="116">
        <v>2028</v>
      </c>
      <c r="D19" s="101">
        <v>60</v>
      </c>
      <c r="E19" s="78" t="s">
        <v>2</v>
      </c>
      <c r="F19" s="75"/>
    </row>
    <row r="20" spans="1:19" ht="15" customHeight="1" x14ac:dyDescent="0.2">
      <c r="A20" s="165" t="s">
        <v>136</v>
      </c>
      <c r="B20" s="165"/>
      <c r="C20" s="102" t="s">
        <v>172</v>
      </c>
      <c r="D20" s="119">
        <v>60</v>
      </c>
      <c r="E20" s="78" t="s">
        <v>2</v>
      </c>
      <c r="F20" s="75"/>
    </row>
    <row r="21" spans="1:19" ht="17.25" customHeight="1" x14ac:dyDescent="0.2">
      <c r="A21" s="6"/>
      <c r="B21" s="6"/>
      <c r="C21" s="7"/>
      <c r="D21" s="8"/>
      <c r="E21" s="9"/>
      <c r="K21" s="39">
        <f>19+15</f>
        <v>34</v>
      </c>
    </row>
    <row r="22" spans="1:19" ht="19.5" customHeight="1" x14ac:dyDescent="0.2">
      <c r="A22" s="175" t="s">
        <v>59</v>
      </c>
      <c r="B22" s="175"/>
      <c r="C22" s="175"/>
      <c r="D22" s="175"/>
      <c r="E22" s="175"/>
      <c r="F22" s="175"/>
      <c r="K22" s="59"/>
      <c r="L22" s="13"/>
      <c r="Q22" s="39">
        <v>19</v>
      </c>
      <c r="R22" s="41"/>
    </row>
    <row r="23" spans="1:19" ht="7.5" customHeight="1" x14ac:dyDescent="0.2">
      <c r="A23" s="6"/>
      <c r="B23" s="6"/>
      <c r="C23" s="7"/>
      <c r="D23" s="8"/>
      <c r="E23" s="9"/>
    </row>
    <row r="24" spans="1:19" ht="15" customHeight="1" x14ac:dyDescent="0.25">
      <c r="A24" s="181" t="s">
        <v>62</v>
      </c>
      <c r="B24" s="181"/>
      <c r="C24" s="11" t="s">
        <v>124</v>
      </c>
      <c r="D24" s="117">
        <v>1.2</v>
      </c>
      <c r="E24" s="78"/>
      <c r="F24" s="75"/>
      <c r="S24" s="42">
        <f>D90</f>
        <v>157</v>
      </c>
    </row>
    <row r="25" spans="1:19" ht="15" customHeight="1" x14ac:dyDescent="0.25">
      <c r="A25" s="181" t="s">
        <v>111</v>
      </c>
      <c r="B25" s="181"/>
      <c r="C25" s="11" t="s">
        <v>125</v>
      </c>
      <c r="D25" s="117">
        <v>1.5</v>
      </c>
      <c r="E25" s="78"/>
      <c r="F25" s="75"/>
    </row>
    <row r="26" spans="1:19" ht="15" customHeight="1" x14ac:dyDescent="0.2">
      <c r="A26" s="181" t="s">
        <v>81</v>
      </c>
      <c r="B26" s="181"/>
      <c r="C26" s="11" t="s">
        <v>26</v>
      </c>
      <c r="D26" s="115">
        <v>150</v>
      </c>
      <c r="E26" s="78" t="s">
        <v>82</v>
      </c>
      <c r="F26" s="75"/>
      <c r="J26" s="40">
        <f>D46</f>
        <v>0.54</v>
      </c>
      <c r="K26" s="58"/>
    </row>
    <row r="27" spans="1:19" ht="15" customHeight="1" x14ac:dyDescent="0.2">
      <c r="A27" s="181" t="s">
        <v>64</v>
      </c>
      <c r="B27" s="181"/>
      <c r="C27" s="11" t="s">
        <v>198</v>
      </c>
      <c r="D27" s="97">
        <v>20</v>
      </c>
      <c r="E27" s="99" t="s">
        <v>22</v>
      </c>
      <c r="F27" s="75"/>
    </row>
    <row r="28" spans="1:19" ht="15" customHeight="1" x14ac:dyDescent="0.2">
      <c r="A28" s="181" t="s">
        <v>65</v>
      </c>
      <c r="B28" s="181"/>
      <c r="C28" s="11" t="s">
        <v>27</v>
      </c>
      <c r="D28" s="117">
        <v>1</v>
      </c>
      <c r="E28" s="78"/>
      <c r="F28" s="75"/>
    </row>
    <row r="29" spans="1:19" ht="15" customHeight="1" x14ac:dyDescent="0.2">
      <c r="A29" s="181" t="s">
        <v>66</v>
      </c>
      <c r="B29" s="181"/>
      <c r="C29" s="11" t="s">
        <v>67</v>
      </c>
      <c r="D29" s="86">
        <v>140</v>
      </c>
      <c r="E29" s="78"/>
      <c r="F29" s="75"/>
    </row>
    <row r="30" spans="1:19" ht="15" customHeight="1" x14ac:dyDescent="0.2">
      <c r="A30" s="176" t="s">
        <v>126</v>
      </c>
      <c r="B30" s="176"/>
      <c r="C30" s="11" t="s">
        <v>127</v>
      </c>
      <c r="D30" s="86">
        <v>125</v>
      </c>
      <c r="E30" s="78"/>
      <c r="F30" s="75"/>
    </row>
    <row r="31" spans="1:19" ht="15" customHeight="1" x14ac:dyDescent="0.2">
      <c r="A31" s="176" t="s">
        <v>74</v>
      </c>
      <c r="B31" s="176"/>
      <c r="C31" s="11" t="s">
        <v>76</v>
      </c>
      <c r="D31" s="80">
        <v>222</v>
      </c>
      <c r="E31" s="78" t="s">
        <v>11</v>
      </c>
      <c r="F31" s="75"/>
    </row>
    <row r="32" spans="1:19" ht="15" customHeight="1" x14ac:dyDescent="0.2">
      <c r="A32" s="176" t="s">
        <v>75</v>
      </c>
      <c r="B32" s="176"/>
      <c r="C32" s="11" t="s">
        <v>77</v>
      </c>
      <c r="D32" s="86">
        <v>6</v>
      </c>
      <c r="E32" s="78" t="s">
        <v>78</v>
      </c>
      <c r="F32" s="75"/>
    </row>
    <row r="33" spans="1:17" ht="15" customHeight="1" x14ac:dyDescent="0.2">
      <c r="A33" s="176" t="s">
        <v>68</v>
      </c>
      <c r="B33" s="176"/>
      <c r="C33" s="11" t="s">
        <v>24</v>
      </c>
      <c r="D33" s="86">
        <v>150</v>
      </c>
      <c r="E33" s="78" t="s">
        <v>11</v>
      </c>
      <c r="F33" s="75"/>
    </row>
    <row r="34" spans="1:17" ht="15" customHeight="1" x14ac:dyDescent="0.2">
      <c r="A34" s="176" t="s">
        <v>69</v>
      </c>
      <c r="B34" s="176"/>
      <c r="C34" s="11" t="s">
        <v>25</v>
      </c>
      <c r="D34" s="86">
        <v>170</v>
      </c>
      <c r="E34" s="78" t="s">
        <v>11</v>
      </c>
      <c r="F34" s="75"/>
      <c r="K34" s="39">
        <v>130</v>
      </c>
      <c r="L34" s="13"/>
      <c r="N34" s="39">
        <v>136</v>
      </c>
    </row>
    <row r="35" spans="1:17" ht="15" customHeight="1" x14ac:dyDescent="0.2">
      <c r="A35" s="176" t="s">
        <v>70</v>
      </c>
      <c r="B35" s="176"/>
      <c r="C35" s="11" t="s">
        <v>71</v>
      </c>
      <c r="D35" s="86">
        <v>180</v>
      </c>
      <c r="E35" s="78" t="s">
        <v>11</v>
      </c>
      <c r="F35" s="75"/>
    </row>
    <row r="36" spans="1:17" ht="15" customHeight="1" x14ac:dyDescent="0.2">
      <c r="A36" s="176" t="s">
        <v>72</v>
      </c>
      <c r="B36" s="176"/>
      <c r="C36" s="11" t="s">
        <v>73</v>
      </c>
      <c r="D36" s="80">
        <v>64</v>
      </c>
      <c r="E36" s="78" t="s">
        <v>11</v>
      </c>
      <c r="F36" s="75"/>
    </row>
    <row r="37" spans="1:17" ht="15" customHeight="1" x14ac:dyDescent="0.2">
      <c r="A37" s="176" t="s">
        <v>79</v>
      </c>
      <c r="B37" s="176"/>
      <c r="C37" s="11" t="s">
        <v>80</v>
      </c>
      <c r="D37" s="100">
        <v>10</v>
      </c>
      <c r="E37" s="78" t="s">
        <v>11</v>
      </c>
      <c r="F37" s="75"/>
      <c r="L37" s="15"/>
      <c r="Q37" s="39">
        <v>150</v>
      </c>
    </row>
    <row r="38" spans="1:17" ht="15" customHeight="1" x14ac:dyDescent="0.2">
      <c r="B38" s="6"/>
      <c r="C38" s="7"/>
      <c r="D38" s="8"/>
      <c r="E38" s="9"/>
    </row>
    <row r="39" spans="1:17" ht="15" customHeight="1" x14ac:dyDescent="0.2">
      <c r="A39" s="174" t="s">
        <v>4</v>
      </c>
      <c r="B39" s="174"/>
      <c r="C39" s="174"/>
      <c r="D39" s="174"/>
      <c r="E39" s="174"/>
      <c r="F39" s="174"/>
    </row>
    <row r="40" spans="1:17" ht="7.5" customHeight="1" x14ac:dyDescent="0.2">
      <c r="A40" s="8"/>
      <c r="B40" s="6"/>
      <c r="C40" s="7"/>
      <c r="D40" s="8"/>
      <c r="E40" s="9"/>
    </row>
    <row r="41" spans="1:17" ht="15" customHeight="1" x14ac:dyDescent="0.2">
      <c r="A41" s="180" t="s">
        <v>28</v>
      </c>
      <c r="B41" s="180"/>
      <c r="C41" s="179" t="s">
        <v>83</v>
      </c>
      <c r="D41" s="98">
        <f>D20*D26</f>
        <v>9000</v>
      </c>
      <c r="E41" s="74" t="s">
        <v>84</v>
      </c>
      <c r="F41" s="75" t="s">
        <v>174</v>
      </c>
    </row>
    <row r="42" spans="1:17" ht="15" customHeight="1" x14ac:dyDescent="0.2">
      <c r="A42" s="180"/>
      <c r="B42" s="180"/>
      <c r="C42" s="179"/>
      <c r="D42" s="76">
        <f>D41/1000</f>
        <v>9</v>
      </c>
      <c r="E42" s="74" t="s">
        <v>29</v>
      </c>
      <c r="F42" s="75" t="s">
        <v>173</v>
      </c>
    </row>
    <row r="43" spans="1:17" ht="15" customHeight="1" x14ac:dyDescent="0.2">
      <c r="A43" s="180" t="s">
        <v>129</v>
      </c>
      <c r="B43" s="180"/>
      <c r="C43" s="179" t="s">
        <v>130</v>
      </c>
      <c r="D43" s="81">
        <f>D45/1000</f>
        <v>0.375</v>
      </c>
      <c r="E43" s="74" t="s">
        <v>6</v>
      </c>
      <c r="F43" s="75"/>
    </row>
    <row r="44" spans="1:17" ht="15" customHeight="1" x14ac:dyDescent="0.2">
      <c r="A44" s="180"/>
      <c r="B44" s="180"/>
      <c r="C44" s="179"/>
      <c r="D44" s="81">
        <f>D45/3600</f>
        <v>0.10416666666666667</v>
      </c>
      <c r="E44" s="74" t="s">
        <v>89</v>
      </c>
      <c r="F44" s="75"/>
      <c r="K44" s="39">
        <v>8</v>
      </c>
      <c r="L44" s="13"/>
    </row>
    <row r="45" spans="1:17" ht="15" customHeight="1" x14ac:dyDescent="0.2">
      <c r="A45" s="180"/>
      <c r="B45" s="180"/>
      <c r="C45" s="179"/>
      <c r="D45" s="98">
        <f>D20*D26/24</f>
        <v>375</v>
      </c>
      <c r="E45" s="74" t="s">
        <v>87</v>
      </c>
      <c r="F45" s="75" t="s">
        <v>175</v>
      </c>
    </row>
    <row r="46" spans="1:17" ht="15" customHeight="1" x14ac:dyDescent="0.2">
      <c r="A46" s="180" t="s">
        <v>85</v>
      </c>
      <c r="B46" s="180"/>
      <c r="C46" s="179" t="s">
        <v>86</v>
      </c>
      <c r="D46" s="81">
        <f>D48/1000</f>
        <v>0.54</v>
      </c>
      <c r="E46" s="74" t="s">
        <v>6</v>
      </c>
      <c r="F46" s="75"/>
    </row>
    <row r="47" spans="1:17" ht="15" customHeight="1" x14ac:dyDescent="0.2">
      <c r="A47" s="180"/>
      <c r="B47" s="180"/>
      <c r="C47" s="179"/>
      <c r="D47" s="81">
        <f>D48/3600</f>
        <v>0.15</v>
      </c>
      <c r="E47" s="74" t="s">
        <v>89</v>
      </c>
      <c r="F47" s="75"/>
    </row>
    <row r="48" spans="1:17" ht="15" customHeight="1" x14ac:dyDescent="0.2">
      <c r="A48" s="180"/>
      <c r="B48" s="180"/>
      <c r="C48" s="179"/>
      <c r="D48" s="98">
        <f>D20*D26*D24/D27</f>
        <v>540</v>
      </c>
      <c r="E48" s="74" t="s">
        <v>87</v>
      </c>
      <c r="F48" s="75" t="s">
        <v>199</v>
      </c>
    </row>
    <row r="49" spans="1:20" ht="15" customHeight="1" x14ac:dyDescent="0.2">
      <c r="A49" s="180" t="s">
        <v>50</v>
      </c>
      <c r="B49" s="180"/>
      <c r="C49" s="179" t="s">
        <v>88</v>
      </c>
      <c r="D49" s="81">
        <f>D51/1000</f>
        <v>0.67500000000000004</v>
      </c>
      <c r="E49" s="74" t="s">
        <v>6</v>
      </c>
      <c r="F49" s="75" t="s">
        <v>178</v>
      </c>
    </row>
    <row r="50" spans="1:20" ht="15" customHeight="1" x14ac:dyDescent="0.2">
      <c r="A50" s="180"/>
      <c r="B50" s="180"/>
      <c r="C50" s="179"/>
      <c r="D50" s="81">
        <f>D51/3600</f>
        <v>0.1875</v>
      </c>
      <c r="E50" s="74" t="s">
        <v>89</v>
      </c>
      <c r="F50" s="75" t="s">
        <v>177</v>
      </c>
    </row>
    <row r="51" spans="1:20" ht="15" customHeight="1" x14ac:dyDescent="0.2">
      <c r="A51" s="180"/>
      <c r="B51" s="180"/>
      <c r="C51" s="179"/>
      <c r="D51" s="98">
        <f>(D20*D26*D24*D25)/24</f>
        <v>675</v>
      </c>
      <c r="E51" s="74" t="s">
        <v>87</v>
      </c>
      <c r="F51" s="75" t="s">
        <v>176</v>
      </c>
      <c r="M51" s="165" t="s">
        <v>245</v>
      </c>
      <c r="N51" s="165"/>
      <c r="O51" s="165"/>
      <c r="P51" s="75"/>
    </row>
    <row r="52" spans="1:20" ht="15" customHeight="1" x14ac:dyDescent="0.2">
      <c r="A52" s="8"/>
      <c r="B52" s="6"/>
      <c r="C52" s="7"/>
      <c r="D52" s="8"/>
      <c r="E52" s="9"/>
      <c r="M52" s="75"/>
      <c r="N52" s="75" t="s">
        <v>243</v>
      </c>
      <c r="O52" s="75" t="s">
        <v>151</v>
      </c>
      <c r="P52" s="75" t="s">
        <v>244</v>
      </c>
    </row>
    <row r="53" spans="1:20" ht="15" customHeight="1" x14ac:dyDescent="0.2">
      <c r="A53" s="184" t="s">
        <v>147</v>
      </c>
      <c r="B53" s="184"/>
      <c r="C53" s="184"/>
      <c r="D53" s="184"/>
      <c r="E53" s="184"/>
      <c r="F53" s="184"/>
      <c r="M53" s="67" t="s">
        <v>242</v>
      </c>
      <c r="N53" s="67" t="s">
        <v>12</v>
      </c>
      <c r="O53" s="67" t="s">
        <v>12</v>
      </c>
      <c r="P53" s="67" t="s">
        <v>12</v>
      </c>
    </row>
    <row r="54" spans="1:20" ht="7.5" customHeight="1" x14ac:dyDescent="0.2">
      <c r="A54" s="8"/>
      <c r="B54" s="6"/>
      <c r="C54" s="7"/>
      <c r="D54" s="8"/>
      <c r="E54" s="9"/>
      <c r="M54" s="67"/>
      <c r="N54" s="67"/>
      <c r="O54" s="67"/>
      <c r="P54" s="75"/>
    </row>
    <row r="55" spans="1:20" ht="16.149999999999999" customHeight="1" x14ac:dyDescent="0.2">
      <c r="A55" s="165" t="s">
        <v>20</v>
      </c>
      <c r="B55" s="165"/>
      <c r="C55" s="10" t="s">
        <v>90</v>
      </c>
      <c r="D55" s="156">
        <f>D46/3600</f>
        <v>1.5000000000000001E-4</v>
      </c>
      <c r="E55" s="96" t="s">
        <v>10</v>
      </c>
      <c r="F55" s="75" t="s">
        <v>179</v>
      </c>
      <c r="M55" s="67">
        <v>1</v>
      </c>
      <c r="N55" s="67">
        <v>32</v>
      </c>
      <c r="O55" s="62">
        <f>N55-(2*P55)</f>
        <v>27.8</v>
      </c>
      <c r="P55" s="91">
        <v>2.1</v>
      </c>
      <c r="Q55" s="41"/>
      <c r="R55" s="41"/>
      <c r="S55" s="41"/>
      <c r="T55" s="41"/>
    </row>
    <row r="56" spans="1:20" ht="16.149999999999999" customHeight="1" x14ac:dyDescent="0.2">
      <c r="A56" s="177" t="s">
        <v>9</v>
      </c>
      <c r="B56" s="177"/>
      <c r="C56" s="183" t="s">
        <v>91</v>
      </c>
      <c r="D56" s="95">
        <f>D28*SQRT(D55)</f>
        <v>1.2247448713915891E-2</v>
      </c>
      <c r="E56" s="88" t="s">
        <v>11</v>
      </c>
      <c r="F56" s="75" t="s">
        <v>180</v>
      </c>
      <c r="M56" s="138">
        <v>1.25</v>
      </c>
      <c r="N56" s="67">
        <v>40</v>
      </c>
      <c r="O56" s="62">
        <f t="shared" ref="O56:O62" si="0">N56-(2*P56)</f>
        <v>35.200000000000003</v>
      </c>
      <c r="P56" s="91">
        <v>2.4</v>
      </c>
      <c r="Q56" s="41"/>
      <c r="R56" s="41"/>
      <c r="S56" s="41"/>
      <c r="T56" s="41"/>
    </row>
    <row r="57" spans="1:20" ht="16.149999999999999" customHeight="1" x14ac:dyDescent="0.2">
      <c r="A57" s="177"/>
      <c r="B57" s="177"/>
      <c r="C57" s="183"/>
      <c r="D57" s="97">
        <v>25</v>
      </c>
      <c r="E57" s="88" t="s">
        <v>12</v>
      </c>
      <c r="F57" s="75" t="s">
        <v>233</v>
      </c>
      <c r="M57" s="138">
        <v>1.5</v>
      </c>
      <c r="N57" s="67">
        <v>50</v>
      </c>
      <c r="O57" s="62">
        <f t="shared" si="0"/>
        <v>44</v>
      </c>
      <c r="P57" s="91">
        <v>3</v>
      </c>
      <c r="Q57" s="41"/>
      <c r="R57" s="41"/>
      <c r="S57" s="41"/>
      <c r="T57" s="41"/>
    </row>
    <row r="58" spans="1:20" ht="16.149999999999999" customHeight="1" x14ac:dyDescent="0.2">
      <c r="A58" s="177"/>
      <c r="B58" s="177"/>
      <c r="C58" s="183"/>
      <c r="D58" s="97">
        <v>32</v>
      </c>
      <c r="E58" s="88" t="s">
        <v>12</v>
      </c>
      <c r="F58" s="185" t="s">
        <v>234</v>
      </c>
      <c r="M58" s="138"/>
      <c r="N58" s="67"/>
      <c r="O58" s="62"/>
      <c r="P58" s="91"/>
      <c r="Q58" s="41"/>
      <c r="R58" s="41"/>
      <c r="S58" s="41"/>
      <c r="T58" s="41"/>
    </row>
    <row r="59" spans="1:20" ht="16.149999999999999" customHeight="1" x14ac:dyDescent="0.2">
      <c r="A59" s="177"/>
      <c r="B59" s="177"/>
      <c r="C59" s="183"/>
      <c r="D59" s="129">
        <v>1</v>
      </c>
      <c r="E59" s="88" t="s">
        <v>78</v>
      </c>
      <c r="F59" s="186"/>
      <c r="M59" s="67">
        <v>2</v>
      </c>
      <c r="N59" s="67">
        <v>60</v>
      </c>
      <c r="O59" s="62">
        <f t="shared" si="0"/>
        <v>53.4</v>
      </c>
      <c r="P59" s="91">
        <v>3.3</v>
      </c>
      <c r="Q59" s="41"/>
      <c r="R59" s="41"/>
      <c r="S59" s="41"/>
      <c r="T59" s="41"/>
    </row>
    <row r="60" spans="1:20" ht="16.149999999999999" customHeight="1" x14ac:dyDescent="0.2">
      <c r="A60" s="8"/>
      <c r="B60" s="6"/>
      <c r="C60" s="7"/>
      <c r="D60" s="8"/>
      <c r="E60" s="9"/>
      <c r="M60" s="138">
        <v>2.5</v>
      </c>
      <c r="N60" s="67">
        <v>75</v>
      </c>
      <c r="O60" s="62">
        <f t="shared" si="0"/>
        <v>66.599999999999994</v>
      </c>
      <c r="P60" s="91">
        <v>4.2</v>
      </c>
      <c r="Q60" s="41"/>
      <c r="R60" s="41"/>
      <c r="S60" s="41"/>
      <c r="T60" s="41"/>
    </row>
    <row r="61" spans="1:20" ht="16.149999999999999" customHeight="1" x14ac:dyDescent="0.2">
      <c r="A61" s="184" t="s">
        <v>96</v>
      </c>
      <c r="B61" s="184"/>
      <c r="C61" s="184"/>
      <c r="D61" s="184"/>
      <c r="E61" s="184"/>
      <c r="F61" s="184"/>
      <c r="M61" s="138">
        <v>3</v>
      </c>
      <c r="N61" s="67">
        <v>85</v>
      </c>
      <c r="O61" s="62">
        <f t="shared" si="0"/>
        <v>75.599999999999994</v>
      </c>
      <c r="P61" s="91">
        <v>4.7</v>
      </c>
      <c r="Q61" s="41"/>
      <c r="R61" s="41"/>
      <c r="S61" s="61"/>
      <c r="T61" s="41"/>
    </row>
    <row r="62" spans="1:20" ht="8.25" customHeight="1" x14ac:dyDescent="0.2">
      <c r="A62" s="6"/>
      <c r="B62" s="6"/>
      <c r="C62" s="7"/>
      <c r="D62" s="8"/>
      <c r="E62" s="9"/>
      <c r="M62" s="166">
        <v>4</v>
      </c>
      <c r="N62" s="168">
        <v>110</v>
      </c>
      <c r="O62" s="170">
        <f t="shared" si="0"/>
        <v>97.8</v>
      </c>
      <c r="P62" s="161">
        <v>6.1</v>
      </c>
      <c r="Q62" s="41"/>
      <c r="R62" s="41"/>
      <c r="S62" s="41"/>
      <c r="T62" s="41"/>
    </row>
    <row r="63" spans="1:20" ht="15" customHeight="1" x14ac:dyDescent="0.2">
      <c r="A63" s="67" t="s">
        <v>16</v>
      </c>
      <c r="B63" s="67" t="s">
        <v>17</v>
      </c>
      <c r="C63" s="85" t="s">
        <v>128</v>
      </c>
      <c r="D63" s="85" t="s">
        <v>92</v>
      </c>
      <c r="E63" s="67" t="s">
        <v>19</v>
      </c>
      <c r="F63" s="75"/>
      <c r="M63" s="167"/>
      <c r="N63" s="169"/>
      <c r="O63" s="171"/>
      <c r="P63" s="162"/>
      <c r="Q63" s="41"/>
      <c r="R63" s="41"/>
      <c r="S63" s="41"/>
      <c r="T63" s="41"/>
    </row>
    <row r="64" spans="1:20" ht="15" customHeight="1" x14ac:dyDescent="0.2">
      <c r="A64" s="90" t="s">
        <v>152</v>
      </c>
      <c r="B64" s="131">
        <f>D57/1000</f>
        <v>2.5000000000000001E-2</v>
      </c>
      <c r="C64" s="62">
        <v>30</v>
      </c>
      <c r="D64" s="97">
        <v>1</v>
      </c>
      <c r="E64" s="79">
        <f t="shared" ref="E64:E70" si="1">B64*C64*D64</f>
        <v>0.75</v>
      </c>
      <c r="F64" s="75" t="s">
        <v>181</v>
      </c>
      <c r="M64" s="138"/>
      <c r="N64" s="67"/>
      <c r="O64" s="62"/>
      <c r="P64" s="91"/>
      <c r="Q64" s="41"/>
      <c r="R64" s="41"/>
      <c r="S64" s="41"/>
      <c r="T64" s="41"/>
    </row>
    <row r="65" spans="1:22" ht="15" customHeight="1" x14ac:dyDescent="0.2">
      <c r="A65" s="90" t="s">
        <v>93</v>
      </c>
      <c r="B65" s="131">
        <f>D57/1000</f>
        <v>2.5000000000000001E-2</v>
      </c>
      <c r="C65" s="62">
        <v>30</v>
      </c>
      <c r="D65" s="97">
        <v>4</v>
      </c>
      <c r="E65" s="79">
        <f t="shared" si="1"/>
        <v>3</v>
      </c>
      <c r="F65" s="75" t="s">
        <v>182</v>
      </c>
      <c r="O65" s="41"/>
      <c r="P65" s="41"/>
      <c r="Q65" s="41"/>
      <c r="R65" s="41"/>
      <c r="S65" s="41"/>
      <c r="T65" s="41"/>
    </row>
    <row r="66" spans="1:22" ht="15" customHeight="1" x14ac:dyDescent="0.2">
      <c r="A66" s="62" t="s">
        <v>94</v>
      </c>
      <c r="B66" s="131">
        <f>D57/1000</f>
        <v>2.5000000000000001E-2</v>
      </c>
      <c r="C66" s="62">
        <v>8</v>
      </c>
      <c r="D66" s="97">
        <v>1</v>
      </c>
      <c r="E66" s="79">
        <f t="shared" si="1"/>
        <v>0.2</v>
      </c>
      <c r="F66" s="75" t="s">
        <v>183</v>
      </c>
      <c r="O66" s="41"/>
      <c r="P66" s="41"/>
      <c r="Q66" s="41"/>
      <c r="R66" s="41"/>
      <c r="S66" s="41"/>
      <c r="T66" s="41"/>
    </row>
    <row r="67" spans="1:22" ht="15" customHeight="1" x14ac:dyDescent="0.2">
      <c r="A67" s="62" t="s">
        <v>148</v>
      </c>
      <c r="B67" s="131">
        <f>D57/1000</f>
        <v>2.5000000000000001E-2</v>
      </c>
      <c r="C67" s="62">
        <v>100</v>
      </c>
      <c r="D67" s="97">
        <v>1</v>
      </c>
      <c r="E67" s="79">
        <f t="shared" si="1"/>
        <v>2.5</v>
      </c>
      <c r="F67" s="91" t="s">
        <v>184</v>
      </c>
      <c r="M67" s="1">
        <v>115</v>
      </c>
      <c r="N67" s="1">
        <v>5.6</v>
      </c>
      <c r="O67" s="41">
        <f>M67-N67-N67</f>
        <v>103.80000000000001</v>
      </c>
      <c r="P67" s="41"/>
      <c r="Q67" s="41"/>
      <c r="R67" s="41"/>
      <c r="S67" s="41"/>
      <c r="T67" s="41"/>
    </row>
    <row r="68" spans="1:22" ht="15" customHeight="1" x14ac:dyDescent="0.2">
      <c r="A68" s="62" t="s">
        <v>95</v>
      </c>
      <c r="B68" s="131">
        <f>D57/1000</f>
        <v>2.5000000000000001E-2</v>
      </c>
      <c r="C68" s="62">
        <v>15</v>
      </c>
      <c r="D68" s="97">
        <v>2</v>
      </c>
      <c r="E68" s="79">
        <f t="shared" si="1"/>
        <v>0.75</v>
      </c>
      <c r="F68" s="91" t="s">
        <v>185</v>
      </c>
      <c r="O68" s="41"/>
      <c r="P68" s="163"/>
      <c r="Q68" s="164"/>
      <c r="R68" s="41"/>
      <c r="S68" s="41"/>
      <c r="T68" s="41"/>
    </row>
    <row r="69" spans="1:22" ht="15" customHeight="1" x14ac:dyDescent="0.2">
      <c r="A69" s="62" t="s">
        <v>15</v>
      </c>
      <c r="B69" s="131">
        <f>D57/1000</f>
        <v>2.5000000000000001E-2</v>
      </c>
      <c r="C69" s="62">
        <v>20</v>
      </c>
      <c r="D69" s="97">
        <v>1</v>
      </c>
      <c r="E69" s="79">
        <f>B69*C69*D69</f>
        <v>0.5</v>
      </c>
      <c r="F69" s="91" t="s">
        <v>186</v>
      </c>
      <c r="O69" s="41"/>
      <c r="P69" s="153"/>
      <c r="Q69" s="12"/>
      <c r="R69" s="41"/>
      <c r="S69" s="41"/>
      <c r="T69" s="41"/>
    </row>
    <row r="70" spans="1:22" ht="15" customHeight="1" x14ac:dyDescent="0.2">
      <c r="A70" s="62" t="s">
        <v>248</v>
      </c>
      <c r="B70" s="131">
        <f>D57/1000</f>
        <v>2.5000000000000001E-2</v>
      </c>
      <c r="C70" s="62">
        <v>20</v>
      </c>
      <c r="D70" s="97">
        <v>0</v>
      </c>
      <c r="E70" s="79">
        <f t="shared" si="1"/>
        <v>0</v>
      </c>
      <c r="F70" s="91" t="s">
        <v>247</v>
      </c>
      <c r="O70" s="41"/>
      <c r="P70" s="41"/>
      <c r="Q70" s="41"/>
      <c r="R70" s="41"/>
      <c r="S70" s="41"/>
      <c r="T70" s="41"/>
    </row>
    <row r="71" spans="1:22" ht="7.15" customHeight="1" x14ac:dyDescent="0.2">
      <c r="A71" s="67"/>
      <c r="B71" s="67"/>
      <c r="C71" s="10"/>
      <c r="D71" s="10"/>
      <c r="E71" s="92"/>
      <c r="F71" s="75"/>
      <c r="O71" s="41"/>
      <c r="P71" s="41"/>
      <c r="Q71" s="41"/>
      <c r="R71" s="41"/>
      <c r="S71" s="41"/>
      <c r="T71" s="41"/>
    </row>
    <row r="72" spans="1:22" ht="15" customHeight="1" x14ac:dyDescent="0.2">
      <c r="A72" s="177" t="s">
        <v>18</v>
      </c>
      <c r="B72" s="177"/>
      <c r="C72" s="68" t="s">
        <v>99</v>
      </c>
      <c r="D72" s="79">
        <f>SUM(E64:E70)</f>
        <v>7.7</v>
      </c>
      <c r="E72" s="92" t="s">
        <v>11</v>
      </c>
      <c r="F72" s="75" t="s">
        <v>187</v>
      </c>
      <c r="P72" s="15"/>
      <c r="Q72" s="15"/>
      <c r="S72" s="15"/>
    </row>
    <row r="73" spans="1:22" ht="27.75" customHeight="1" x14ac:dyDescent="0.2">
      <c r="A73" s="177" t="s">
        <v>23</v>
      </c>
      <c r="B73" s="177"/>
      <c r="C73" s="68" t="s">
        <v>100</v>
      </c>
      <c r="D73" s="93">
        <f>(10.643*(D55)^1.85*D72)/(D30^1.85*(D57/1000)^4.87)</f>
        <v>5.7819222886050493E-2</v>
      </c>
      <c r="E73" s="84" t="s">
        <v>11</v>
      </c>
      <c r="F73" s="109" t="s">
        <v>250</v>
      </c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</row>
    <row r="74" spans="1:22" ht="7.15" customHeight="1" x14ac:dyDescent="0.2">
      <c r="A74" s="134"/>
      <c r="B74" s="134"/>
      <c r="C74" s="68"/>
      <c r="D74" s="67"/>
      <c r="E74" s="84"/>
      <c r="F74" s="75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1:22" ht="15" customHeight="1" x14ac:dyDescent="0.2">
      <c r="A75" s="190" t="s">
        <v>239</v>
      </c>
      <c r="B75" s="190"/>
      <c r="C75" s="68" t="s">
        <v>101</v>
      </c>
      <c r="D75" s="94">
        <f>D35</f>
        <v>180</v>
      </c>
      <c r="E75" s="84" t="s">
        <v>11</v>
      </c>
      <c r="F75" s="75" t="s">
        <v>71</v>
      </c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</row>
    <row r="76" spans="1:22" ht="27" customHeight="1" x14ac:dyDescent="0.2">
      <c r="A76" s="177" t="s">
        <v>97</v>
      </c>
      <c r="B76" s="177"/>
      <c r="C76" s="68" t="s">
        <v>102</v>
      </c>
      <c r="D76" s="93">
        <f>(10.643*(D55)^1.85*D75)/(D30^1.85*(D57/1000)^4.87)</f>
        <v>1.3516181973362451</v>
      </c>
      <c r="E76" s="84" t="s">
        <v>11</v>
      </c>
      <c r="F76" s="109" t="s">
        <v>251</v>
      </c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2" ht="7.15" customHeight="1" x14ac:dyDescent="0.2">
      <c r="A77" s="134"/>
      <c r="B77" s="134"/>
      <c r="C77" s="68"/>
      <c r="D77" s="67"/>
      <c r="E77" s="84"/>
      <c r="F77" s="75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</row>
    <row r="78" spans="1:22" ht="15" customHeight="1" x14ac:dyDescent="0.2">
      <c r="A78" s="190" t="s">
        <v>240</v>
      </c>
      <c r="B78" s="190"/>
      <c r="C78" s="68" t="s">
        <v>101</v>
      </c>
      <c r="D78" s="94">
        <f>D36</f>
        <v>64</v>
      </c>
      <c r="E78" s="84" t="s">
        <v>11</v>
      </c>
      <c r="F78" s="75" t="s">
        <v>241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2" ht="27.75" customHeight="1" x14ac:dyDescent="0.2">
      <c r="A79" s="177" t="s">
        <v>97</v>
      </c>
      <c r="B79" s="177"/>
      <c r="C79" s="68" t="s">
        <v>102</v>
      </c>
      <c r="D79" s="93">
        <f>(10.643*(D55)^1.85*D78)/(D29^1.85*(D57/1000)^4.87)</f>
        <v>0.38968003641725429</v>
      </c>
      <c r="E79" s="84" t="s">
        <v>11</v>
      </c>
      <c r="F79" s="109" t="s">
        <v>188</v>
      </c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2" ht="6" customHeight="1" x14ac:dyDescent="0.2">
      <c r="A80" s="134"/>
      <c r="B80" s="134"/>
      <c r="C80" s="68"/>
      <c r="D80" s="67"/>
      <c r="E80" s="94"/>
      <c r="F80" s="75"/>
      <c r="J80" s="41"/>
      <c r="K80" s="41"/>
      <c r="L80" s="41"/>
      <c r="M80" s="59"/>
      <c r="N80" s="13"/>
      <c r="O80" s="41"/>
      <c r="P80" s="41"/>
      <c r="Q80" s="41"/>
      <c r="R80" s="41"/>
      <c r="S80" s="13"/>
      <c r="T80" s="41"/>
      <c r="U80" s="41"/>
      <c r="V80" s="41"/>
    </row>
    <row r="81" spans="1:22" ht="15" customHeight="1" x14ac:dyDescent="0.2">
      <c r="A81" s="177" t="s">
        <v>98</v>
      </c>
      <c r="B81" s="177"/>
      <c r="C81" s="68" t="s">
        <v>103</v>
      </c>
      <c r="D81" s="79">
        <f>D79+D73+D76</f>
        <v>1.79911745663955</v>
      </c>
      <c r="E81" s="84" t="s">
        <v>11</v>
      </c>
      <c r="F81" s="75" t="s">
        <v>189</v>
      </c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</row>
    <row r="82" spans="1:22" ht="15" customHeight="1" x14ac:dyDescent="0.2">
      <c r="A82" s="8"/>
      <c r="B82" s="8"/>
      <c r="C82" s="16"/>
      <c r="D82" s="8"/>
      <c r="E82" s="89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60"/>
      <c r="V82" s="41"/>
    </row>
    <row r="83" spans="1:22" ht="15" customHeight="1" x14ac:dyDescent="0.2">
      <c r="A83" s="178" t="s">
        <v>112</v>
      </c>
      <c r="B83" s="178"/>
      <c r="C83" s="178"/>
      <c r="D83" s="178"/>
      <c r="E83" s="178"/>
      <c r="F83" s="178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spans="1:22" s="15" customFormat="1" ht="7.5" customHeight="1" x14ac:dyDescent="0.2">
      <c r="A84" s="12"/>
      <c r="B84" s="12"/>
      <c r="C84" s="13"/>
      <c r="D84" s="12"/>
      <c r="E84" s="14"/>
      <c r="J84" s="41"/>
      <c r="K84" s="41"/>
      <c r="L84" s="58"/>
      <c r="M84" s="58"/>
      <c r="N84" s="41"/>
      <c r="O84" s="41"/>
      <c r="P84" s="41"/>
      <c r="Q84" s="41"/>
      <c r="R84" s="41"/>
      <c r="S84" s="41"/>
      <c r="T84" s="41"/>
      <c r="U84" s="41"/>
      <c r="V84" s="41"/>
    </row>
    <row r="85" spans="1:22" ht="16.149999999999999" customHeight="1" x14ac:dyDescent="0.2">
      <c r="A85" s="165" t="s">
        <v>98</v>
      </c>
      <c r="B85" s="165"/>
      <c r="C85" s="10" t="s">
        <v>103</v>
      </c>
      <c r="D85" s="79">
        <f>D79+D73+D76</f>
        <v>1.79911745663955</v>
      </c>
      <c r="E85" s="84" t="s">
        <v>11</v>
      </c>
      <c r="F85" s="75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</row>
    <row r="86" spans="1:22" ht="16.149999999999999" customHeight="1" x14ac:dyDescent="0.2">
      <c r="A86" s="182" t="s">
        <v>69</v>
      </c>
      <c r="B86" s="182"/>
      <c r="C86" s="11" t="s">
        <v>25</v>
      </c>
      <c r="D86" s="86">
        <f>K34</f>
        <v>130</v>
      </c>
      <c r="E86" s="78" t="s">
        <v>11</v>
      </c>
      <c r="F86" s="75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2" ht="16.149999999999999" customHeight="1" x14ac:dyDescent="0.2">
      <c r="A87" s="182" t="s">
        <v>258</v>
      </c>
      <c r="B87" s="182"/>
      <c r="C87" s="11" t="s">
        <v>149</v>
      </c>
      <c r="D87" s="115">
        <v>15</v>
      </c>
      <c r="E87" s="78" t="s">
        <v>11</v>
      </c>
      <c r="F87" s="75" t="s">
        <v>190</v>
      </c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</row>
    <row r="88" spans="1:22" ht="16.149999999999999" customHeight="1" x14ac:dyDescent="0.2">
      <c r="A88" s="182" t="s">
        <v>79</v>
      </c>
      <c r="B88" s="182"/>
      <c r="C88" s="11" t="s">
        <v>80</v>
      </c>
      <c r="D88" s="87">
        <f>D37</f>
        <v>10</v>
      </c>
      <c r="E88" s="78" t="s">
        <v>11</v>
      </c>
      <c r="F88" s="75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</row>
    <row r="89" spans="1:22" ht="16.149999999999999" customHeight="1" x14ac:dyDescent="0.2">
      <c r="A89" s="177" t="s">
        <v>21</v>
      </c>
      <c r="B89" s="177"/>
      <c r="C89" s="183" t="s">
        <v>104</v>
      </c>
      <c r="D89" s="79">
        <f>SUM(D85:D88)</f>
        <v>156.79911745663955</v>
      </c>
      <c r="E89" s="88" t="s">
        <v>13</v>
      </c>
      <c r="F89" s="75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</row>
    <row r="90" spans="1:22" ht="16.149999999999999" customHeight="1" x14ac:dyDescent="0.2">
      <c r="A90" s="177"/>
      <c r="B90" s="177"/>
      <c r="C90" s="183"/>
      <c r="D90" s="79">
        <f>ROUNDUP(D89,0)</f>
        <v>157</v>
      </c>
      <c r="E90" s="88" t="s">
        <v>13</v>
      </c>
      <c r="F90" s="75" t="s">
        <v>191</v>
      </c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</row>
    <row r="91" spans="1:22" ht="8.25" customHeight="1" x14ac:dyDescent="0.2">
      <c r="A91" s="6"/>
      <c r="B91" s="6"/>
      <c r="C91" s="7"/>
      <c r="D91" s="8"/>
      <c r="E91" s="9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</row>
    <row r="92" spans="1:22" ht="16.149999999999999" customHeight="1" x14ac:dyDescent="0.2">
      <c r="A92" s="184" t="s">
        <v>106</v>
      </c>
      <c r="B92" s="184"/>
      <c r="C92" s="184"/>
      <c r="D92" s="184"/>
      <c r="E92" s="184"/>
      <c r="F92" s="184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</row>
    <row r="93" spans="1:22" ht="7.5" customHeight="1" x14ac:dyDescent="0.2">
      <c r="A93" s="8"/>
      <c r="B93" s="8"/>
      <c r="C93" s="16"/>
      <c r="D93" s="8"/>
      <c r="E93" s="9"/>
      <c r="J93" s="41"/>
      <c r="K93" s="41"/>
      <c r="L93" s="41"/>
      <c r="M93" s="13"/>
      <c r="N93" s="13"/>
      <c r="O93" s="41"/>
      <c r="P93" s="13"/>
      <c r="Q93" s="41"/>
      <c r="R93" s="41"/>
      <c r="S93" s="41"/>
      <c r="T93" s="41"/>
      <c r="U93" s="41"/>
      <c r="V93" s="41"/>
    </row>
    <row r="94" spans="1:22" ht="16.149999999999999" customHeight="1" x14ac:dyDescent="0.2">
      <c r="A94" s="165" t="s">
        <v>139</v>
      </c>
      <c r="B94" s="165"/>
      <c r="C94" s="19" t="s">
        <v>86</v>
      </c>
      <c r="D94" s="81">
        <f>D46</f>
        <v>0.54</v>
      </c>
      <c r="E94" s="74" t="s">
        <v>6</v>
      </c>
      <c r="F94" s="126" t="s">
        <v>270</v>
      </c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</row>
    <row r="95" spans="1:22" ht="16.149999999999999" customHeight="1" x14ac:dyDescent="0.2">
      <c r="A95" s="165" t="s">
        <v>21</v>
      </c>
      <c r="B95" s="165"/>
      <c r="C95" s="19" t="s">
        <v>104</v>
      </c>
      <c r="D95" s="82">
        <f>D90</f>
        <v>157</v>
      </c>
      <c r="E95" s="83" t="s">
        <v>13</v>
      </c>
      <c r="F95" s="126" t="s">
        <v>275</v>
      </c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</row>
    <row r="96" spans="1:22" ht="16.149999999999999" customHeight="1" x14ac:dyDescent="0.2">
      <c r="A96" s="187" t="s">
        <v>249</v>
      </c>
      <c r="B96" s="187"/>
      <c r="C96" s="187" t="s">
        <v>252</v>
      </c>
      <c r="D96" s="187"/>
      <c r="E96" s="187"/>
      <c r="F96" s="126" t="s">
        <v>274</v>
      </c>
      <c r="J96" s="41"/>
      <c r="K96" s="41"/>
      <c r="L96" s="41"/>
      <c r="M96" s="41"/>
      <c r="N96" s="41"/>
      <c r="O96" s="41"/>
      <c r="P96" s="41"/>
      <c r="Q96" s="41"/>
      <c r="R96" s="41"/>
      <c r="S96" s="13"/>
      <c r="T96" s="41"/>
      <c r="U96" s="41"/>
      <c r="V96" s="41"/>
    </row>
    <row r="97" spans="1:22" ht="16.149999999999999" customHeight="1" x14ac:dyDescent="0.2">
      <c r="A97" s="187" t="s">
        <v>271</v>
      </c>
      <c r="B97" s="187"/>
      <c r="C97" s="187" t="s">
        <v>272</v>
      </c>
      <c r="D97" s="187"/>
      <c r="E97" s="187"/>
      <c r="F97" s="126" t="s">
        <v>273</v>
      </c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2" ht="8.25" customHeight="1" x14ac:dyDescent="0.2">
      <c r="A98" s="6"/>
      <c r="B98" s="6"/>
      <c r="C98" s="7"/>
      <c r="D98" s="8"/>
      <c r="E98" s="9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6.149999999999999" customHeight="1" x14ac:dyDescent="0.2">
      <c r="A99" s="184" t="s">
        <v>105</v>
      </c>
      <c r="B99" s="184"/>
      <c r="C99" s="184"/>
      <c r="D99" s="184"/>
      <c r="E99" s="184"/>
      <c r="F99" s="184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</row>
    <row r="100" spans="1:22" ht="7.5" customHeight="1" x14ac:dyDescent="0.2">
      <c r="A100" s="6"/>
      <c r="B100" s="6"/>
      <c r="C100" s="7"/>
      <c r="D100" s="8"/>
      <c r="E100" s="9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2" ht="15" customHeight="1" x14ac:dyDescent="0.2">
      <c r="A101" s="180" t="s">
        <v>28</v>
      </c>
      <c r="B101" s="180"/>
      <c r="C101" s="179" t="s">
        <v>83</v>
      </c>
      <c r="D101" s="73">
        <f>D20*D26</f>
        <v>9000</v>
      </c>
      <c r="E101" s="74" t="s">
        <v>84</v>
      </c>
      <c r="F101" s="75" t="s">
        <v>174</v>
      </c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</row>
    <row r="102" spans="1:22" ht="15" customHeight="1" x14ac:dyDescent="0.2">
      <c r="A102" s="180"/>
      <c r="B102" s="180"/>
      <c r="C102" s="179"/>
      <c r="D102" s="76">
        <f>D101/1000</f>
        <v>9</v>
      </c>
      <c r="E102" s="74" t="s">
        <v>29</v>
      </c>
      <c r="F102" s="75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</row>
    <row r="103" spans="1:22" ht="15" customHeight="1" x14ac:dyDescent="0.25">
      <c r="A103" s="165" t="s">
        <v>62</v>
      </c>
      <c r="B103" s="165"/>
      <c r="C103" s="11" t="s">
        <v>124</v>
      </c>
      <c r="D103" s="77">
        <f>D24</f>
        <v>1.2</v>
      </c>
      <c r="E103" s="78"/>
      <c r="F103" s="75"/>
      <c r="J103" s="41"/>
      <c r="K103" s="41"/>
      <c r="L103" s="41"/>
      <c r="M103" s="13"/>
      <c r="N103" s="13"/>
      <c r="O103" s="41"/>
      <c r="P103" s="41"/>
      <c r="Q103" s="41"/>
      <c r="R103" s="41"/>
      <c r="S103" s="41"/>
      <c r="T103" s="41"/>
      <c r="U103" s="41"/>
      <c r="V103" s="41"/>
    </row>
    <row r="104" spans="1:22" ht="15" customHeight="1" x14ac:dyDescent="0.2">
      <c r="A104" s="165" t="s">
        <v>140</v>
      </c>
      <c r="B104" s="165"/>
      <c r="C104" s="11" t="s">
        <v>141</v>
      </c>
      <c r="D104" s="115">
        <v>8</v>
      </c>
      <c r="E104" s="78" t="s">
        <v>142</v>
      </c>
      <c r="F104" s="75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</row>
    <row r="105" spans="1:22" ht="15" customHeight="1" x14ac:dyDescent="0.2">
      <c r="A105" s="165" t="s">
        <v>107</v>
      </c>
      <c r="B105" s="165"/>
      <c r="C105" s="10" t="s">
        <v>109</v>
      </c>
      <c r="D105" s="79">
        <f>D101*D103/D104</f>
        <v>1350</v>
      </c>
      <c r="E105" s="74" t="s">
        <v>7</v>
      </c>
      <c r="F105" s="75" t="s">
        <v>192</v>
      </c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</row>
    <row r="106" spans="1:22" ht="15" customHeight="1" x14ac:dyDescent="0.2">
      <c r="A106" s="177" t="s">
        <v>108</v>
      </c>
      <c r="B106" s="177"/>
      <c r="C106" s="183" t="s">
        <v>110</v>
      </c>
      <c r="D106" s="80">
        <f>ROUNDUP(D105,-3)</f>
        <v>2000</v>
      </c>
      <c r="E106" s="74" t="s">
        <v>7</v>
      </c>
      <c r="F106" s="75" t="s">
        <v>191</v>
      </c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</row>
    <row r="107" spans="1:22" ht="15" customHeight="1" x14ac:dyDescent="0.2">
      <c r="A107" s="177"/>
      <c r="B107" s="177"/>
      <c r="C107" s="183"/>
      <c r="D107" s="97">
        <v>270</v>
      </c>
      <c r="E107" s="74" t="s">
        <v>8</v>
      </c>
      <c r="F107" s="75"/>
    </row>
    <row r="108" spans="1:22" ht="9.75" customHeight="1" x14ac:dyDescent="0.2"/>
    <row r="109" spans="1:22" ht="15" customHeight="1" x14ac:dyDescent="0.2">
      <c r="A109" s="184" t="s">
        <v>113</v>
      </c>
      <c r="B109" s="184"/>
      <c r="C109" s="184"/>
      <c r="D109" s="184"/>
      <c r="E109" s="184"/>
      <c r="F109" s="184"/>
    </row>
    <row r="110" spans="1:22" ht="6.75" customHeight="1" x14ac:dyDescent="0.2">
      <c r="A110" s="6"/>
      <c r="B110" s="6"/>
      <c r="C110" s="7"/>
      <c r="D110" s="8"/>
      <c r="E110" s="9"/>
    </row>
    <row r="111" spans="1:22" ht="15" customHeight="1" x14ac:dyDescent="0.2">
      <c r="A111" s="180" t="s">
        <v>114</v>
      </c>
      <c r="B111" s="180"/>
      <c r="C111" s="107" t="s">
        <v>115</v>
      </c>
      <c r="D111" s="118">
        <v>10</v>
      </c>
      <c r="E111" s="74" t="s">
        <v>116</v>
      </c>
      <c r="F111" s="75"/>
    </row>
    <row r="112" spans="1:22" ht="15" customHeight="1" x14ac:dyDescent="0.2">
      <c r="A112" s="180" t="s">
        <v>117</v>
      </c>
      <c r="B112" s="180"/>
      <c r="C112" s="11" t="s">
        <v>118</v>
      </c>
      <c r="D112" s="97">
        <v>15</v>
      </c>
      <c r="E112" s="74" t="s">
        <v>12</v>
      </c>
      <c r="F112" s="75"/>
    </row>
    <row r="113" spans="1:15" ht="15" customHeight="1" x14ac:dyDescent="0.2">
      <c r="A113" s="180" t="s">
        <v>50</v>
      </c>
      <c r="B113" s="180"/>
      <c r="C113" s="179" t="s">
        <v>88</v>
      </c>
      <c r="D113" s="98">
        <f>D114*3600/1000</f>
        <v>0.67500000000000004</v>
      </c>
      <c r="E113" s="74" t="s">
        <v>6</v>
      </c>
      <c r="F113" s="75"/>
    </row>
    <row r="114" spans="1:15" ht="15" customHeight="1" x14ac:dyDescent="0.2">
      <c r="A114" s="180"/>
      <c r="B114" s="180"/>
      <c r="C114" s="179"/>
      <c r="D114" s="81">
        <f>D20*D26*D24*D25/86400</f>
        <v>0.1875</v>
      </c>
      <c r="E114" s="74" t="s">
        <v>89</v>
      </c>
      <c r="F114" s="75" t="s">
        <v>193</v>
      </c>
    </row>
    <row r="115" spans="1:15" ht="15" customHeight="1" x14ac:dyDescent="0.2">
      <c r="A115" s="177" t="s">
        <v>119</v>
      </c>
      <c r="B115" s="177"/>
      <c r="C115" s="10" t="s">
        <v>120</v>
      </c>
      <c r="D115" s="80">
        <v>4584</v>
      </c>
      <c r="E115" s="74" t="s">
        <v>11</v>
      </c>
      <c r="F115" s="75"/>
    </row>
    <row r="116" spans="1:15" ht="15" customHeight="1" x14ac:dyDescent="0.2">
      <c r="A116" s="177" t="s">
        <v>121</v>
      </c>
      <c r="B116" s="177"/>
      <c r="C116" s="68" t="s">
        <v>122</v>
      </c>
      <c r="D116" s="108">
        <f>D114/D115</f>
        <v>4.0903141361256547E-5</v>
      </c>
      <c r="E116" s="74" t="s">
        <v>123</v>
      </c>
      <c r="F116" s="75"/>
    </row>
    <row r="117" spans="1:15" ht="9" customHeight="1" x14ac:dyDescent="0.2"/>
    <row r="118" spans="1:15" ht="15.6" customHeight="1" x14ac:dyDescent="0.2">
      <c r="A118" s="199" t="s">
        <v>200</v>
      </c>
      <c r="B118" s="200"/>
      <c r="C118" s="200"/>
      <c r="D118" s="200"/>
      <c r="E118" s="200"/>
      <c r="F118" s="201"/>
      <c r="G118" s="120"/>
      <c r="H118" s="121"/>
      <c r="I118" s="121"/>
      <c r="J118" s="122"/>
      <c r="K118" s="122"/>
    </row>
    <row r="119" spans="1:15" ht="8.4499999999999993" customHeight="1" x14ac:dyDescent="0.2">
      <c r="A119" s="123"/>
      <c r="B119" s="124"/>
      <c r="C119" s="120"/>
      <c r="D119" s="120"/>
      <c r="E119" s="120"/>
      <c r="F119" s="120"/>
      <c r="G119" s="120"/>
      <c r="H119" s="121"/>
      <c r="I119" s="121"/>
      <c r="J119" s="122"/>
      <c r="K119" s="122"/>
    </row>
    <row r="120" spans="1:15" ht="15" customHeight="1" x14ac:dyDescent="0.2">
      <c r="A120" s="191" t="s">
        <v>201</v>
      </c>
      <c r="B120" s="192"/>
      <c r="C120" s="19" t="s">
        <v>202</v>
      </c>
      <c r="D120" s="125">
        <f>D46</f>
        <v>0.54</v>
      </c>
      <c r="E120" s="91" t="s">
        <v>6</v>
      </c>
      <c r="F120" s="91" t="s">
        <v>86</v>
      </c>
      <c r="G120" s="15">
        <f>D120*1000/3600</f>
        <v>0.15</v>
      </c>
      <c r="H120" s="15" t="s">
        <v>5</v>
      </c>
    </row>
    <row r="121" spans="1:15" ht="15" customHeight="1" x14ac:dyDescent="0.2">
      <c r="A121" s="191" t="s">
        <v>203</v>
      </c>
      <c r="B121" s="192"/>
      <c r="C121" s="19" t="s">
        <v>204</v>
      </c>
      <c r="D121" s="126">
        <f>D27</f>
        <v>20</v>
      </c>
      <c r="E121" s="91" t="s">
        <v>205</v>
      </c>
      <c r="F121" s="91" t="s">
        <v>204</v>
      </c>
      <c r="G121" s="15"/>
      <c r="H121" s="15"/>
      <c r="M121" s="1">
        <v>0.28000000000000003</v>
      </c>
      <c r="N121" s="41">
        <v>100</v>
      </c>
      <c r="O121" s="41"/>
    </row>
    <row r="122" spans="1:15" ht="15" customHeight="1" x14ac:dyDescent="0.2">
      <c r="A122" s="191" t="s">
        <v>206</v>
      </c>
      <c r="B122" s="192"/>
      <c r="C122" s="19" t="s">
        <v>207</v>
      </c>
      <c r="D122" s="126">
        <v>3</v>
      </c>
      <c r="E122" s="91" t="s">
        <v>208</v>
      </c>
      <c r="F122" s="91" t="s">
        <v>207</v>
      </c>
      <c r="G122" s="15"/>
      <c r="H122" s="15"/>
      <c r="M122" s="1">
        <f>M121*N122/N121</f>
        <v>0.14280000000000001</v>
      </c>
      <c r="N122" s="41">
        <v>51</v>
      </c>
      <c r="O122" s="41"/>
    </row>
    <row r="123" spans="1:15" ht="15" customHeight="1" x14ac:dyDescent="0.2">
      <c r="A123" s="191" t="s">
        <v>209</v>
      </c>
      <c r="B123" s="192"/>
      <c r="C123" s="19" t="s">
        <v>210</v>
      </c>
      <c r="D123" s="133">
        <v>65</v>
      </c>
      <c r="E123" s="91" t="s">
        <v>133</v>
      </c>
      <c r="F123" s="91" t="s">
        <v>133</v>
      </c>
      <c r="G123" s="15">
        <f>D123/100</f>
        <v>0.65</v>
      </c>
      <c r="H123" s="15"/>
      <c r="M123" s="1" t="s">
        <v>195</v>
      </c>
      <c r="N123" s="41">
        <v>745.7</v>
      </c>
      <c r="O123" s="41"/>
    </row>
    <row r="124" spans="1:15" ht="15" customHeight="1" x14ac:dyDescent="0.2">
      <c r="A124" s="191" t="s">
        <v>211</v>
      </c>
      <c r="B124" s="192"/>
      <c r="C124" s="19" t="s">
        <v>212</v>
      </c>
      <c r="D124" s="126">
        <v>180</v>
      </c>
      <c r="E124" s="91" t="s">
        <v>213</v>
      </c>
      <c r="F124" s="91" t="s">
        <v>212</v>
      </c>
      <c r="G124" s="15"/>
      <c r="H124" s="15"/>
      <c r="M124" s="1" t="s">
        <v>196</v>
      </c>
      <c r="N124" s="41">
        <f>1/7457</f>
        <v>1.3410218586562962E-4</v>
      </c>
      <c r="O124" s="41" t="s">
        <v>197</v>
      </c>
    </row>
    <row r="125" spans="1:15" ht="15" customHeight="1" x14ac:dyDescent="0.2">
      <c r="A125" s="191" t="s">
        <v>214</v>
      </c>
      <c r="B125" s="192"/>
      <c r="C125" s="19" t="s">
        <v>215</v>
      </c>
      <c r="D125" s="91">
        <f>D120*D122</f>
        <v>1.62</v>
      </c>
      <c r="E125" s="91" t="s">
        <v>213</v>
      </c>
      <c r="F125" s="91" t="s">
        <v>216</v>
      </c>
      <c r="G125" s="15"/>
      <c r="H125" s="15"/>
      <c r="N125" s="41"/>
      <c r="O125" s="41"/>
    </row>
    <row r="126" spans="1:15" ht="15" customHeight="1" x14ac:dyDescent="0.2">
      <c r="A126" s="191" t="s">
        <v>217</v>
      </c>
      <c r="B126" s="192"/>
      <c r="C126" s="19" t="s">
        <v>218</v>
      </c>
      <c r="D126" s="127">
        <f>D125/(D123/100)</f>
        <v>2.4923076923076923</v>
      </c>
      <c r="E126" s="91" t="s">
        <v>213</v>
      </c>
      <c r="F126" s="91" t="s">
        <v>219</v>
      </c>
      <c r="G126" s="15">
        <f>D125/G123</f>
        <v>2.4923076923076923</v>
      </c>
      <c r="H126" s="15"/>
      <c r="N126" s="41">
        <f>N123/2</f>
        <v>372.85</v>
      </c>
      <c r="O126" s="41"/>
    </row>
    <row r="127" spans="1:15" ht="15" customHeight="1" x14ac:dyDescent="0.2">
      <c r="A127" s="191" t="s">
        <v>220</v>
      </c>
      <c r="B127" s="192"/>
      <c r="C127" s="19" t="s">
        <v>221</v>
      </c>
      <c r="D127" s="127">
        <f>D126/D124</f>
        <v>1.3846153846153847E-2</v>
      </c>
      <c r="E127" s="91"/>
      <c r="F127" s="91" t="s">
        <v>222</v>
      </c>
      <c r="G127" s="15"/>
      <c r="H127" s="15"/>
    </row>
    <row r="128" spans="1:15" ht="15" customHeight="1" x14ac:dyDescent="0.2">
      <c r="A128" s="191" t="s">
        <v>223</v>
      </c>
      <c r="B128" s="192"/>
      <c r="C128" s="19" t="s">
        <v>224</v>
      </c>
      <c r="D128" s="127">
        <f>ROUNDUP(D127,0)</f>
        <v>1</v>
      </c>
      <c r="E128" s="91"/>
      <c r="F128" s="91" t="s">
        <v>222</v>
      </c>
      <c r="G128" s="15"/>
      <c r="H128" s="15"/>
    </row>
    <row r="129" spans="1:15" ht="9" customHeight="1" x14ac:dyDescent="0.2">
      <c r="G129" s="15"/>
    </row>
    <row r="130" spans="1:15" ht="15.6" customHeight="1" x14ac:dyDescent="0.2">
      <c r="A130" s="199" t="s">
        <v>225</v>
      </c>
      <c r="B130" s="200"/>
      <c r="C130" s="200"/>
      <c r="D130" s="200"/>
      <c r="E130" s="200"/>
      <c r="F130" s="201"/>
      <c r="G130" s="120"/>
      <c r="H130" s="121"/>
      <c r="I130" s="121"/>
      <c r="J130" s="122"/>
      <c r="K130" s="122"/>
      <c r="M130" s="160" t="s">
        <v>238</v>
      </c>
      <c r="N130" s="160" t="s">
        <v>236</v>
      </c>
      <c r="O130" s="160"/>
    </row>
    <row r="131" spans="1:15" ht="8.4499999999999993" customHeight="1" x14ac:dyDescent="0.2">
      <c r="A131" s="123"/>
      <c r="B131" s="124"/>
      <c r="C131" s="120"/>
      <c r="D131" s="120"/>
      <c r="E131" s="120"/>
      <c r="F131" s="120"/>
      <c r="G131" s="120"/>
      <c r="H131" s="121"/>
      <c r="I131" s="121"/>
      <c r="J131" s="122"/>
      <c r="K131" s="122"/>
      <c r="M131" s="160"/>
      <c r="N131" s="160"/>
      <c r="O131" s="160"/>
    </row>
    <row r="132" spans="1:15" ht="18" customHeight="1" x14ac:dyDescent="0.2">
      <c r="A132" s="191" t="s">
        <v>226</v>
      </c>
      <c r="B132" s="192"/>
      <c r="C132" s="19" t="s">
        <v>71</v>
      </c>
      <c r="D132" s="128">
        <v>55</v>
      </c>
      <c r="E132" s="91" t="s">
        <v>227</v>
      </c>
      <c r="F132" s="91"/>
      <c r="H132" s="15"/>
      <c r="M132" s="160"/>
      <c r="N132" s="160"/>
      <c r="O132" s="160"/>
    </row>
    <row r="133" spans="1:15" ht="16.5" customHeight="1" x14ac:dyDescent="0.2">
      <c r="A133" s="191" t="s">
        <v>254</v>
      </c>
      <c r="B133" s="192"/>
      <c r="C133" s="19" t="s">
        <v>228</v>
      </c>
      <c r="D133" s="126">
        <f>D132*0.736</f>
        <v>40.479999999999997</v>
      </c>
      <c r="E133" s="91" t="s">
        <v>253</v>
      </c>
      <c r="F133" s="91" t="s">
        <v>255</v>
      </c>
      <c r="H133" s="15"/>
      <c r="M133" s="67" t="s">
        <v>237</v>
      </c>
      <c r="N133" s="67" t="s">
        <v>235</v>
      </c>
      <c r="O133" s="67" t="s">
        <v>229</v>
      </c>
    </row>
    <row r="134" spans="1:15" ht="16.5" customHeight="1" x14ac:dyDescent="0.2">
      <c r="A134" s="191" t="s">
        <v>256</v>
      </c>
      <c r="B134" s="192"/>
      <c r="C134" s="19" t="s">
        <v>230</v>
      </c>
      <c r="D134" s="128">
        <v>0.92</v>
      </c>
      <c r="E134" s="91"/>
      <c r="F134" s="91"/>
      <c r="H134" s="15"/>
      <c r="M134" s="67">
        <v>0.5</v>
      </c>
      <c r="N134" s="67">
        <v>2</v>
      </c>
      <c r="O134" s="67">
        <v>2.5</v>
      </c>
    </row>
    <row r="135" spans="1:15" ht="16.5" customHeight="1" x14ac:dyDescent="0.2">
      <c r="A135" s="193" t="s">
        <v>231</v>
      </c>
      <c r="B135" s="194"/>
      <c r="C135" s="197" t="s">
        <v>232</v>
      </c>
      <c r="D135" s="157">
        <f>D133/D134</f>
        <v>43.999999999999993</v>
      </c>
      <c r="E135" s="91" t="s">
        <v>229</v>
      </c>
      <c r="F135" s="91" t="s">
        <v>257</v>
      </c>
      <c r="H135" s="15"/>
      <c r="M135" s="67">
        <v>0.75</v>
      </c>
      <c r="N135" s="67">
        <v>3</v>
      </c>
      <c r="O135" s="67">
        <v>3.8</v>
      </c>
    </row>
    <row r="136" spans="1:15" ht="16.5" customHeight="1" x14ac:dyDescent="0.2">
      <c r="A136" s="195"/>
      <c r="B136" s="196"/>
      <c r="C136" s="198"/>
      <c r="D136" s="128">
        <v>112</v>
      </c>
      <c r="E136" s="91" t="s">
        <v>229</v>
      </c>
      <c r="F136" s="91" t="s">
        <v>194</v>
      </c>
      <c r="H136" s="15"/>
      <c r="M136" s="67">
        <v>1</v>
      </c>
      <c r="N136" s="67">
        <v>4</v>
      </c>
      <c r="O136" s="67">
        <v>5</v>
      </c>
    </row>
    <row r="137" spans="1:15" ht="16.5" customHeight="1" x14ac:dyDescent="0.2">
      <c r="M137" s="67">
        <v>1.5</v>
      </c>
      <c r="N137" s="67">
        <v>5</v>
      </c>
      <c r="O137" s="67">
        <v>6.25</v>
      </c>
    </row>
    <row r="138" spans="1:15" ht="16.5" customHeight="1" x14ac:dyDescent="0.2">
      <c r="M138" s="67">
        <v>2</v>
      </c>
      <c r="N138" s="67">
        <v>7.5</v>
      </c>
      <c r="O138" s="67">
        <v>9.5</v>
      </c>
    </row>
    <row r="139" spans="1:15" ht="16.5" customHeight="1" x14ac:dyDescent="0.2">
      <c r="I139" s="1">
        <v>150</v>
      </c>
      <c r="J139" s="1">
        <v>100</v>
      </c>
      <c r="M139" s="67">
        <v>3</v>
      </c>
      <c r="N139" s="67">
        <v>10</v>
      </c>
      <c r="O139" s="67">
        <v>12.5</v>
      </c>
    </row>
    <row r="140" spans="1:15" ht="16.5" customHeight="1" x14ac:dyDescent="0.2">
      <c r="I140" s="1">
        <f>I139*J140/J139</f>
        <v>45</v>
      </c>
      <c r="J140" s="1">
        <v>30</v>
      </c>
      <c r="M140" s="67">
        <v>5</v>
      </c>
      <c r="N140" s="67">
        <v>15</v>
      </c>
      <c r="O140" s="67">
        <v>18.75</v>
      </c>
    </row>
    <row r="141" spans="1:15" ht="16.5" customHeight="1" x14ac:dyDescent="0.2">
      <c r="M141" s="67">
        <v>7.5</v>
      </c>
      <c r="N141" s="67">
        <v>20</v>
      </c>
      <c r="O141" s="67">
        <v>25</v>
      </c>
    </row>
    <row r="142" spans="1:15" ht="14.25" customHeight="1" x14ac:dyDescent="0.2"/>
    <row r="143" spans="1:15" ht="14.25" customHeight="1" x14ac:dyDescent="0.2"/>
    <row r="144" spans="1:15" ht="14.25" customHeight="1" x14ac:dyDescent="0.2"/>
    <row r="145" spans="13:13" ht="14.25" customHeight="1" x14ac:dyDescent="0.2"/>
    <row r="146" spans="13:13" ht="23.25" customHeight="1" x14ac:dyDescent="0.2">
      <c r="M146" s="1">
        <v>220</v>
      </c>
    </row>
    <row r="147" spans="13:13" ht="23.25" customHeight="1" x14ac:dyDescent="0.2">
      <c r="M147" s="1">
        <f>6*N123</f>
        <v>4474.2000000000007</v>
      </c>
    </row>
    <row r="148" spans="13:13" ht="23.25" customHeight="1" x14ac:dyDescent="0.2">
      <c r="M148" s="1">
        <f>M147/M146</f>
        <v>20.33727272727273</v>
      </c>
    </row>
  </sheetData>
  <mergeCells count="103">
    <mergeCell ref="A134:B134"/>
    <mergeCell ref="A135:B136"/>
    <mergeCell ref="C135:C136"/>
    <mergeCell ref="C113:C114"/>
    <mergeCell ref="A123:B123"/>
    <mergeCell ref="A124:B124"/>
    <mergeCell ref="A116:B116"/>
    <mergeCell ref="A115:B115"/>
    <mergeCell ref="A118:F118"/>
    <mergeCell ref="A133:B133"/>
    <mergeCell ref="A126:B126"/>
    <mergeCell ref="A130:F130"/>
    <mergeCell ref="A132:B132"/>
    <mergeCell ref="A127:B127"/>
    <mergeCell ref="A128:B128"/>
    <mergeCell ref="A109:F109"/>
    <mergeCell ref="A106:B107"/>
    <mergeCell ref="C97:E97"/>
    <mergeCell ref="C96:E96"/>
    <mergeCell ref="A96:B96"/>
    <mergeCell ref="A113:B114"/>
    <mergeCell ref="A121:B121"/>
    <mergeCell ref="A122:B122"/>
    <mergeCell ref="A125:B125"/>
    <mergeCell ref="A120:B120"/>
    <mergeCell ref="A111:B111"/>
    <mergeCell ref="C106:C107"/>
    <mergeCell ref="A105:B105"/>
    <mergeCell ref="A104:B104"/>
    <mergeCell ref="A112:B112"/>
    <mergeCell ref="A29:B29"/>
    <mergeCell ref="A34:B34"/>
    <mergeCell ref="A35:B35"/>
    <mergeCell ref="A37:B37"/>
    <mergeCell ref="A32:B32"/>
    <mergeCell ref="A30:B30"/>
    <mergeCell ref="A36:B36"/>
    <mergeCell ref="A103:B103"/>
    <mergeCell ref="A95:B95"/>
    <mergeCell ref="A75:B75"/>
    <mergeCell ref="A89:B90"/>
    <mergeCell ref="A76:B76"/>
    <mergeCell ref="C89:C90"/>
    <mergeCell ref="C101:C102"/>
    <mergeCell ref="A97:B97"/>
    <mergeCell ref="A101:B102"/>
    <mergeCell ref="C41:C42"/>
    <mergeCell ref="N14:O14"/>
    <mergeCell ref="A19:B19"/>
    <mergeCell ref="A27:B27"/>
    <mergeCell ref="C11:C12"/>
    <mergeCell ref="A14:B14"/>
    <mergeCell ref="A24:B24"/>
    <mergeCell ref="A17:F17"/>
    <mergeCell ref="A20:B20"/>
    <mergeCell ref="A26:B26"/>
    <mergeCell ref="A25:B25"/>
    <mergeCell ref="A13:B13"/>
    <mergeCell ref="A99:F99"/>
    <mergeCell ref="A92:F92"/>
    <mergeCell ref="A78:B78"/>
    <mergeCell ref="A79:B79"/>
    <mergeCell ref="A87:B87"/>
    <mergeCell ref="A88:B88"/>
    <mergeCell ref="A81:B81"/>
    <mergeCell ref="A94:B94"/>
    <mergeCell ref="C49:C51"/>
    <mergeCell ref="A73:B73"/>
    <mergeCell ref="A86:B86"/>
    <mergeCell ref="A85:B85"/>
    <mergeCell ref="A83:F83"/>
    <mergeCell ref="C56:C59"/>
    <mergeCell ref="A56:B59"/>
    <mergeCell ref="A61:F61"/>
    <mergeCell ref="A53:F53"/>
    <mergeCell ref="A55:B55"/>
    <mergeCell ref="A49:B51"/>
    <mergeCell ref="F58:F59"/>
    <mergeCell ref="A72:B72"/>
    <mergeCell ref="M130:M132"/>
    <mergeCell ref="N130:O132"/>
    <mergeCell ref="P62:P63"/>
    <mergeCell ref="P68:Q68"/>
    <mergeCell ref="M51:O51"/>
    <mergeCell ref="M62:M63"/>
    <mergeCell ref="N62:N63"/>
    <mergeCell ref="O62:O63"/>
    <mergeCell ref="A1:F1"/>
    <mergeCell ref="A5:F5"/>
    <mergeCell ref="A39:F39"/>
    <mergeCell ref="A22:F22"/>
    <mergeCell ref="A31:B31"/>
    <mergeCell ref="A33:B33"/>
    <mergeCell ref="A11:B12"/>
    <mergeCell ref="A9:F9"/>
    <mergeCell ref="C46:C48"/>
    <mergeCell ref="A43:B45"/>
    <mergeCell ref="A46:B48"/>
    <mergeCell ref="A15:B15"/>
    <mergeCell ref="A28:B28"/>
    <mergeCell ref="A41:B42"/>
    <mergeCell ref="C43:C45"/>
    <mergeCell ref="A7:F7"/>
  </mergeCells>
  <phoneticPr fontId="0" type="noConversion"/>
  <printOptions horizontalCentered="1"/>
  <pageMargins left="0.78740157480314965" right="0.78740157480314965" top="0.78740157480314965" bottom="0.78740157480314965" header="0.78740157480314965" footer="0.78740157480314965"/>
  <pageSetup scale="67" orientation="portrait" horizontalDpi="300" verticalDpi="300" r:id="rId1"/>
  <headerFooter alignWithMargins="0"/>
  <rowBreaks count="1" manualBreakCount="1">
    <brk id="71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="90" zoomScaleNormal="90" workbookViewId="0">
      <selection activeCell="F34" sqref="F34"/>
    </sheetView>
  </sheetViews>
  <sheetFormatPr defaultRowHeight="15" x14ac:dyDescent="0.2"/>
  <cols>
    <col min="1" max="1" width="8.28515625" style="20" customWidth="1"/>
    <col min="2" max="2" width="15" style="20" customWidth="1"/>
    <col min="3" max="3" width="12" style="20" customWidth="1"/>
    <col min="4" max="4" width="12.7109375" style="20" customWidth="1"/>
    <col min="5" max="5" width="12.85546875" style="20" customWidth="1"/>
    <col min="6" max="6" width="9.7109375" style="20" customWidth="1"/>
    <col min="7" max="8" width="10.28515625" style="20" customWidth="1"/>
    <col min="9" max="9" width="12.7109375" style="20" customWidth="1"/>
    <col min="10" max="10" width="19.7109375" style="20" customWidth="1"/>
    <col min="11" max="11" width="12.85546875" style="20" customWidth="1"/>
    <col min="12" max="12" width="20.42578125" style="20" customWidth="1"/>
    <col min="13" max="13" width="12.5703125" style="20" customWidth="1"/>
    <col min="14" max="14" width="11.5703125" style="20" customWidth="1"/>
    <col min="15" max="15" width="13" style="20" customWidth="1"/>
    <col min="16" max="16" width="12.28515625" style="20" customWidth="1"/>
    <col min="17" max="17" width="26.7109375" style="20" customWidth="1"/>
    <col min="18" max="16384" width="9.140625" style="20"/>
  </cols>
  <sheetData>
    <row r="1" spans="1:17" ht="23.25" x14ac:dyDescent="0.35">
      <c r="A1" s="202" t="s">
        <v>276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</row>
    <row r="2" spans="1:17" ht="5.25" customHeight="1" x14ac:dyDescent="0.25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16.5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13"/>
      <c r="P3" s="113"/>
      <c r="Q3" s="113"/>
    </row>
    <row r="4" spans="1:17" ht="17.25" thickTop="1" thickBot="1" x14ac:dyDescent="0.3">
      <c r="A4" s="213" t="s">
        <v>31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5"/>
    </row>
    <row r="5" spans="1:17" ht="9.75" customHeight="1" thickTop="1" thickBot="1" x14ac:dyDescent="0.25"/>
    <row r="6" spans="1:17" ht="24" customHeight="1" thickTop="1" x14ac:dyDescent="0.2">
      <c r="A6" s="216" t="s">
        <v>32</v>
      </c>
      <c r="B6" s="44" t="s">
        <v>14</v>
      </c>
      <c r="C6" s="204" t="s">
        <v>33</v>
      </c>
      <c r="D6" s="219"/>
      <c r="E6" s="219"/>
      <c r="F6" s="205"/>
      <c r="G6" s="221" t="s">
        <v>34</v>
      </c>
      <c r="H6" s="222"/>
      <c r="I6" s="63" t="s">
        <v>35</v>
      </c>
      <c r="J6" s="44" t="s">
        <v>36</v>
      </c>
      <c r="K6" s="44" t="s">
        <v>37</v>
      </c>
      <c r="L6" s="44" t="s">
        <v>36</v>
      </c>
      <c r="M6" s="204" t="s">
        <v>38</v>
      </c>
      <c r="N6" s="205"/>
      <c r="O6" s="204" t="s">
        <v>39</v>
      </c>
      <c r="P6" s="205"/>
      <c r="Q6" s="210" t="s">
        <v>40</v>
      </c>
    </row>
    <row r="7" spans="1:17" ht="14.25" customHeight="1" x14ac:dyDescent="0.2">
      <c r="A7" s="217"/>
      <c r="B7" s="64"/>
      <c r="C7" s="206"/>
      <c r="D7" s="220"/>
      <c r="E7" s="220"/>
      <c r="F7" s="207"/>
      <c r="G7" s="64" t="s">
        <v>150</v>
      </c>
      <c r="H7" s="64" t="s">
        <v>151</v>
      </c>
      <c r="I7" s="64"/>
      <c r="J7" s="64"/>
      <c r="K7" s="64"/>
      <c r="L7" s="64"/>
      <c r="M7" s="206"/>
      <c r="N7" s="207"/>
      <c r="O7" s="208"/>
      <c r="P7" s="209"/>
      <c r="Q7" s="211"/>
    </row>
    <row r="8" spans="1:17" ht="18" customHeight="1" thickBot="1" x14ac:dyDescent="0.25">
      <c r="A8" s="218"/>
      <c r="B8" s="65" t="s">
        <v>11</v>
      </c>
      <c r="C8" s="66" t="s">
        <v>41</v>
      </c>
      <c r="D8" s="66" t="s">
        <v>42</v>
      </c>
      <c r="E8" s="66" t="s">
        <v>43</v>
      </c>
      <c r="F8" s="66" t="s">
        <v>44</v>
      </c>
      <c r="G8" s="66" t="s">
        <v>12</v>
      </c>
      <c r="H8" s="66" t="s">
        <v>11</v>
      </c>
      <c r="I8" s="65" t="s">
        <v>45</v>
      </c>
      <c r="J8" s="65" t="s">
        <v>46</v>
      </c>
      <c r="K8" s="65" t="s">
        <v>47</v>
      </c>
      <c r="L8" s="65" t="s">
        <v>48</v>
      </c>
      <c r="M8" s="66" t="s">
        <v>43</v>
      </c>
      <c r="N8" s="66" t="s">
        <v>41</v>
      </c>
      <c r="O8" s="66" t="s">
        <v>43</v>
      </c>
      <c r="P8" s="66" t="s">
        <v>41</v>
      </c>
      <c r="Q8" s="212"/>
    </row>
    <row r="9" spans="1:17" ht="9.75" customHeight="1" thickTop="1" thickBot="1" x14ac:dyDescent="0.25">
      <c r="J9" s="22"/>
    </row>
    <row r="10" spans="1:17" ht="18" customHeight="1" thickTop="1" x14ac:dyDescent="0.2">
      <c r="A10" s="159" t="s">
        <v>278</v>
      </c>
      <c r="B10" s="139">
        <v>10</v>
      </c>
      <c r="C10" s="24">
        <v>0.2093419</v>
      </c>
      <c r="D10" s="27">
        <v>3.1581999999999999E-3</v>
      </c>
      <c r="E10" s="24">
        <f>C10+D10</f>
        <v>0.2125001</v>
      </c>
      <c r="F10" s="24">
        <f>(C10+E10)/2</f>
        <v>0.210921</v>
      </c>
      <c r="G10" s="139">
        <v>25</v>
      </c>
      <c r="H10" s="140">
        <v>2.5000000000000001E-2</v>
      </c>
      <c r="I10" s="142">
        <f>((4*(F10/1000))/((3.1416*(H10)^2)))</f>
        <v>0.42968372803666915</v>
      </c>
      <c r="J10" s="24">
        <v>809.18</v>
      </c>
      <c r="K10" s="24">
        <f>(10.643*(E10/1000)^1.85*B10)/($D$32^1.85*(H10)^4.87)</f>
        <v>0.1159775047313906</v>
      </c>
      <c r="L10" s="24">
        <f>J10-K10</f>
        <v>809.06402249526855</v>
      </c>
      <c r="M10" s="24">
        <v>799.18</v>
      </c>
      <c r="N10" s="24">
        <v>800.2</v>
      </c>
      <c r="O10" s="24">
        <f>J10-M10</f>
        <v>10</v>
      </c>
      <c r="P10" s="24">
        <f>L10-N10</f>
        <v>8.8640224952685003</v>
      </c>
      <c r="Q10" s="143"/>
    </row>
    <row r="11" spans="1:17" ht="18" customHeight="1" x14ac:dyDescent="0.2">
      <c r="A11" s="144" t="s">
        <v>279</v>
      </c>
      <c r="B11" s="25">
        <v>45.2</v>
      </c>
      <c r="C11" s="27">
        <v>8.0802799999999994E-2</v>
      </c>
      <c r="D11" s="27">
        <v>1.4275100000000001E-2</v>
      </c>
      <c r="E11" s="27">
        <f t="shared" ref="E11:E17" si="0">C11+D11</f>
        <v>9.5077899999999993E-2</v>
      </c>
      <c r="F11" s="27">
        <f t="shared" ref="F11:F17" si="1">(C11+E11)/2</f>
        <v>8.794035E-2</v>
      </c>
      <c r="G11" s="25">
        <v>15</v>
      </c>
      <c r="H11" s="25">
        <v>1.4999999999999999E-2</v>
      </c>
      <c r="I11" s="145">
        <f t="shared" ref="I11:I17" si="2">((4*(F11/1000))/((3.1416*(H11)^2)))</f>
        <v>0.49763941940412526</v>
      </c>
      <c r="J11" s="27">
        <v>809.06399999999996</v>
      </c>
      <c r="K11" s="27">
        <f t="shared" ref="K11:K17" si="3">(10.643*(E11/1000)^1.85*B11)/($D$32^1.85*(H11)^4.87)</f>
        <v>1.4247820133652442</v>
      </c>
      <c r="L11" s="27">
        <f t="shared" ref="L11:L17" si="4">J11-K11</f>
        <v>807.63921798663478</v>
      </c>
      <c r="M11" s="27">
        <v>799.18</v>
      </c>
      <c r="N11" s="27">
        <v>800.2</v>
      </c>
      <c r="O11" s="27">
        <f t="shared" ref="O11:O17" si="5">J11-M11</f>
        <v>9.8840000000000146</v>
      </c>
      <c r="P11" s="27">
        <f t="shared" ref="P11:P17" si="6">L11-N11</f>
        <v>7.4392179866347306</v>
      </c>
      <c r="Q11" s="146"/>
    </row>
    <row r="12" spans="1:17" ht="18" customHeight="1" x14ac:dyDescent="0.2">
      <c r="A12" s="144" t="s">
        <v>262</v>
      </c>
      <c r="B12" s="25">
        <v>48.5</v>
      </c>
      <c r="C12" s="27">
        <v>0</v>
      </c>
      <c r="D12" s="27">
        <v>1.5317300000000001E-2</v>
      </c>
      <c r="E12" s="27">
        <f t="shared" si="0"/>
        <v>1.5317300000000001E-2</v>
      </c>
      <c r="F12" s="27">
        <f t="shared" si="1"/>
        <v>7.6586500000000004E-3</v>
      </c>
      <c r="G12" s="25">
        <v>15</v>
      </c>
      <c r="H12" s="25">
        <v>1.4999999999999999E-2</v>
      </c>
      <c r="I12" s="145">
        <f t="shared" si="2"/>
        <v>4.3338992162521572E-2</v>
      </c>
      <c r="J12" s="27">
        <v>807.69</v>
      </c>
      <c r="K12" s="27">
        <f t="shared" si="3"/>
        <v>5.2178502056177405E-2</v>
      </c>
      <c r="L12" s="27">
        <f t="shared" si="4"/>
        <v>807.63782149794383</v>
      </c>
      <c r="M12" s="27">
        <v>797.08</v>
      </c>
      <c r="N12" s="27">
        <v>796.62</v>
      </c>
      <c r="O12" s="27">
        <f t="shared" si="5"/>
        <v>10.610000000000014</v>
      </c>
      <c r="P12" s="27">
        <f t="shared" si="6"/>
        <v>11.017821497943828</v>
      </c>
      <c r="Q12" s="146"/>
    </row>
    <row r="13" spans="1:17" ht="18" customHeight="1" x14ac:dyDescent="0.2">
      <c r="A13" s="144" t="s">
        <v>261</v>
      </c>
      <c r="B13" s="25">
        <v>90.5</v>
      </c>
      <c r="C13" s="27">
        <v>3.6903699999999998E-2</v>
      </c>
      <c r="D13" s="27">
        <v>2.8581800000000001E-2</v>
      </c>
      <c r="E13" s="27">
        <f t="shared" si="0"/>
        <v>6.5485500000000002E-2</v>
      </c>
      <c r="F13" s="27">
        <f t="shared" si="1"/>
        <v>5.11946E-2</v>
      </c>
      <c r="G13" s="25">
        <v>15</v>
      </c>
      <c r="H13" s="25">
        <v>1.4999999999999999E-2</v>
      </c>
      <c r="I13" s="145">
        <f t="shared" si="2"/>
        <v>0.28970149676032025</v>
      </c>
      <c r="J13" s="27">
        <v>807.63800000000003</v>
      </c>
      <c r="K13" s="27">
        <f t="shared" si="3"/>
        <v>1.4311325753666766</v>
      </c>
      <c r="L13" s="27">
        <f t="shared" si="4"/>
        <v>806.2068674246334</v>
      </c>
      <c r="M13" s="27">
        <v>797.08</v>
      </c>
      <c r="N13" s="27">
        <v>788.78</v>
      </c>
      <c r="O13" s="27">
        <f t="shared" si="5"/>
        <v>10.557999999999993</v>
      </c>
      <c r="P13" s="27">
        <f t="shared" si="6"/>
        <v>17.426867424633429</v>
      </c>
      <c r="Q13" s="146"/>
    </row>
    <row r="14" spans="1:17" ht="18" customHeight="1" x14ac:dyDescent="0.2">
      <c r="A14" s="144" t="s">
        <v>280</v>
      </c>
      <c r="B14" s="25">
        <v>116.85</v>
      </c>
      <c r="C14" s="27">
        <v>0</v>
      </c>
      <c r="D14" s="27">
        <v>3.6903699999999998E-2</v>
      </c>
      <c r="E14" s="27">
        <f t="shared" si="0"/>
        <v>3.6903699999999998E-2</v>
      </c>
      <c r="F14" s="27">
        <f t="shared" si="1"/>
        <v>1.8451849999999999E-2</v>
      </c>
      <c r="G14" s="25">
        <v>15</v>
      </c>
      <c r="H14" s="25">
        <v>1.4999999999999999E-2</v>
      </c>
      <c r="I14" s="145">
        <f t="shared" si="2"/>
        <v>0.10441586735704382</v>
      </c>
      <c r="J14" s="27">
        <v>807.51900000000001</v>
      </c>
      <c r="K14" s="27">
        <f t="shared" si="3"/>
        <v>0.63954457132185705</v>
      </c>
      <c r="L14" s="27">
        <f t="shared" si="4"/>
        <v>806.87945542867817</v>
      </c>
      <c r="M14" s="27">
        <v>797.92</v>
      </c>
      <c r="N14" s="27">
        <v>788.78</v>
      </c>
      <c r="O14" s="27">
        <f t="shared" si="5"/>
        <v>9.5990000000000464</v>
      </c>
      <c r="P14" s="27">
        <f t="shared" si="6"/>
        <v>18.099455428678198</v>
      </c>
      <c r="Q14" s="146"/>
    </row>
    <row r="15" spans="1:17" ht="18" customHeight="1" x14ac:dyDescent="0.2">
      <c r="A15" s="144" t="s">
        <v>281</v>
      </c>
      <c r="B15" s="25">
        <v>9.6</v>
      </c>
      <c r="C15" s="27">
        <v>0.1112321</v>
      </c>
      <c r="D15" s="27">
        <v>3.0319000000000001E-3</v>
      </c>
      <c r="E15" s="27">
        <f t="shared" si="0"/>
        <v>0.114264</v>
      </c>
      <c r="F15" s="27">
        <f t="shared" si="1"/>
        <v>0.11274805</v>
      </c>
      <c r="G15" s="25">
        <v>20</v>
      </c>
      <c r="H15" s="25">
        <v>0.02</v>
      </c>
      <c r="I15" s="145">
        <f t="shared" si="2"/>
        <v>0.35888735039470332</v>
      </c>
      <c r="J15" s="27">
        <v>809.06399999999996</v>
      </c>
      <c r="K15" s="27">
        <f t="shared" si="3"/>
        <v>0.10474053386889644</v>
      </c>
      <c r="L15" s="27">
        <f t="shared" si="4"/>
        <v>808.95925946613102</v>
      </c>
      <c r="M15" s="27">
        <v>799.13</v>
      </c>
      <c r="N15" s="27">
        <v>799.18</v>
      </c>
      <c r="O15" s="27">
        <f t="shared" si="5"/>
        <v>9.9339999999999691</v>
      </c>
      <c r="P15" s="27">
        <f t="shared" si="6"/>
        <v>9.7792594661310659</v>
      </c>
      <c r="Q15" s="146"/>
    </row>
    <row r="16" spans="1:17" ht="18" customHeight="1" x14ac:dyDescent="0.2">
      <c r="A16" s="144" t="s">
        <v>282</v>
      </c>
      <c r="B16" s="25">
        <v>107</v>
      </c>
      <c r="C16" s="27">
        <v>0</v>
      </c>
      <c r="D16" s="27">
        <v>3.3792799999999998E-2</v>
      </c>
      <c r="E16" s="27">
        <f t="shared" si="0"/>
        <v>3.3792799999999998E-2</v>
      </c>
      <c r="F16" s="27">
        <f t="shared" si="1"/>
        <v>1.6896399999999999E-2</v>
      </c>
      <c r="G16" s="25">
        <v>15</v>
      </c>
      <c r="H16" s="25">
        <v>1.4999999999999999E-2</v>
      </c>
      <c r="I16" s="145">
        <f t="shared" si="2"/>
        <v>9.5613841496194438E-2</v>
      </c>
      <c r="J16" s="27">
        <v>808.96299999999997</v>
      </c>
      <c r="K16" s="27">
        <f t="shared" si="3"/>
        <v>0.49758957343724758</v>
      </c>
      <c r="L16" s="27">
        <f t="shared" si="4"/>
        <v>808.4654104265627</v>
      </c>
      <c r="M16" s="27">
        <v>796.7</v>
      </c>
      <c r="N16" s="27">
        <v>799.13</v>
      </c>
      <c r="O16" s="27">
        <f t="shared" si="5"/>
        <v>12.26299999999992</v>
      </c>
      <c r="P16" s="27">
        <f t="shared" si="6"/>
        <v>9.3354104265627029</v>
      </c>
      <c r="Q16" s="146"/>
    </row>
    <row r="17" spans="1:17" ht="18" customHeight="1" x14ac:dyDescent="0.2">
      <c r="A17" s="144" t="s">
        <v>283</v>
      </c>
      <c r="B17" s="25">
        <v>245.2</v>
      </c>
      <c r="C17" s="27">
        <v>0</v>
      </c>
      <c r="D17" s="27">
        <v>7.7439300000000003E-2</v>
      </c>
      <c r="E17" s="27">
        <f t="shared" si="0"/>
        <v>7.7439300000000003E-2</v>
      </c>
      <c r="F17" s="27">
        <f t="shared" si="1"/>
        <v>3.8719650000000001E-2</v>
      </c>
      <c r="G17" s="25">
        <v>15</v>
      </c>
      <c r="H17" s="25">
        <v>1.4999999999999999E-2</v>
      </c>
      <c r="I17" s="145">
        <f t="shared" si="2"/>
        <v>0.21910788557847383</v>
      </c>
      <c r="J17" s="27">
        <v>808.96299999999997</v>
      </c>
      <c r="K17" s="27">
        <f t="shared" si="3"/>
        <v>5.2876397015851246</v>
      </c>
      <c r="L17" s="27">
        <f t="shared" si="4"/>
        <v>803.67536029841483</v>
      </c>
      <c r="M17" s="27">
        <v>796.72</v>
      </c>
      <c r="N17" s="27">
        <v>799.13</v>
      </c>
      <c r="O17" s="27">
        <f t="shared" si="5"/>
        <v>12.242999999999938</v>
      </c>
      <c r="P17" s="27">
        <f t="shared" si="6"/>
        <v>4.5453602984148347</v>
      </c>
      <c r="Q17" s="146"/>
    </row>
    <row r="18" spans="1:17" ht="18" customHeight="1" x14ac:dyDescent="0.2">
      <c r="A18" s="144"/>
      <c r="B18" s="25"/>
      <c r="C18" s="27"/>
      <c r="D18" s="27"/>
      <c r="E18" s="27"/>
      <c r="F18" s="27"/>
      <c r="G18" s="25"/>
      <c r="H18" s="25"/>
      <c r="I18" s="145"/>
      <c r="J18" s="27"/>
      <c r="K18" s="27"/>
      <c r="L18" s="27"/>
      <c r="M18" s="27"/>
      <c r="N18" s="27"/>
      <c r="O18" s="27"/>
      <c r="P18" s="27"/>
      <c r="Q18" s="146"/>
    </row>
    <row r="19" spans="1:17" ht="18" customHeight="1" x14ac:dyDescent="0.2">
      <c r="A19" s="144"/>
      <c r="B19" s="25"/>
      <c r="C19" s="27"/>
      <c r="D19" s="27"/>
      <c r="E19" s="27"/>
      <c r="F19" s="27"/>
      <c r="G19" s="25"/>
      <c r="H19" s="25"/>
      <c r="I19" s="145"/>
      <c r="J19" s="27"/>
      <c r="K19" s="27"/>
      <c r="L19" s="27"/>
      <c r="M19" s="27"/>
      <c r="N19" s="27"/>
      <c r="O19" s="27"/>
      <c r="P19" s="27"/>
      <c r="Q19" s="146"/>
    </row>
    <row r="20" spans="1:17" ht="18" customHeight="1" x14ac:dyDescent="0.2">
      <c r="A20" s="144"/>
      <c r="B20" s="25"/>
      <c r="C20" s="27"/>
      <c r="D20" s="27"/>
      <c r="E20" s="27"/>
      <c r="F20" s="27"/>
      <c r="G20" s="25"/>
      <c r="H20" s="25"/>
      <c r="I20" s="145"/>
      <c r="J20" s="27"/>
      <c r="K20" s="27"/>
      <c r="L20" s="27"/>
      <c r="M20" s="27"/>
      <c r="N20" s="27"/>
      <c r="O20" s="27"/>
      <c r="P20" s="27"/>
      <c r="Q20" s="146"/>
    </row>
    <row r="21" spans="1:17" ht="18" customHeight="1" x14ac:dyDescent="0.2">
      <c r="A21" s="144"/>
      <c r="B21" s="25"/>
      <c r="C21" s="27"/>
      <c r="D21" s="27"/>
      <c r="E21" s="27"/>
      <c r="F21" s="27"/>
      <c r="G21" s="25"/>
      <c r="H21" s="25"/>
      <c r="I21" s="145"/>
      <c r="J21" s="27"/>
      <c r="K21" s="27"/>
      <c r="L21" s="27"/>
      <c r="M21" s="27"/>
      <c r="N21" s="27"/>
      <c r="O21" s="27"/>
      <c r="P21" s="27"/>
      <c r="Q21" s="146"/>
    </row>
    <row r="22" spans="1:17" ht="18" customHeight="1" x14ac:dyDescent="0.2">
      <c r="A22" s="144"/>
      <c r="B22" s="25"/>
      <c r="C22" s="27"/>
      <c r="D22" s="27"/>
      <c r="E22" s="27"/>
      <c r="F22" s="27"/>
      <c r="G22" s="25"/>
      <c r="H22" s="25"/>
      <c r="I22" s="145"/>
      <c r="J22" s="27"/>
      <c r="K22" s="27"/>
      <c r="L22" s="27"/>
      <c r="M22" s="27"/>
      <c r="N22" s="27"/>
      <c r="O22" s="27"/>
      <c r="P22" s="27"/>
      <c r="Q22" s="146"/>
    </row>
    <row r="23" spans="1:17" ht="18" customHeight="1" x14ac:dyDescent="0.2">
      <c r="A23" s="144"/>
      <c r="B23" s="25"/>
      <c r="C23" s="27"/>
      <c r="D23" s="27"/>
      <c r="E23" s="27"/>
      <c r="F23" s="27"/>
      <c r="G23" s="25"/>
      <c r="H23" s="25"/>
      <c r="I23" s="145"/>
      <c r="J23" s="27"/>
      <c r="K23" s="27"/>
      <c r="L23" s="27"/>
      <c r="M23" s="27"/>
      <c r="N23" s="27"/>
      <c r="O23" s="27"/>
      <c r="P23" s="27"/>
      <c r="Q23" s="146"/>
    </row>
    <row r="24" spans="1:17" ht="18" customHeight="1" x14ac:dyDescent="0.2">
      <c r="A24" s="144"/>
      <c r="B24" s="25"/>
      <c r="C24" s="27"/>
      <c r="D24" s="27"/>
      <c r="E24" s="27"/>
      <c r="F24" s="27"/>
      <c r="G24" s="25"/>
      <c r="H24" s="25"/>
      <c r="I24" s="145"/>
      <c r="J24" s="27"/>
      <c r="K24" s="27"/>
      <c r="L24" s="27"/>
      <c r="M24" s="27"/>
      <c r="N24" s="27"/>
      <c r="O24" s="27"/>
      <c r="P24" s="27"/>
      <c r="Q24" s="146"/>
    </row>
    <row r="25" spans="1:17" ht="18" customHeight="1" x14ac:dyDescent="0.2">
      <c r="A25" s="144"/>
      <c r="B25" s="25"/>
      <c r="C25" s="27"/>
      <c r="D25" s="27"/>
      <c r="E25" s="27"/>
      <c r="F25" s="27"/>
      <c r="G25" s="25"/>
      <c r="H25" s="25"/>
      <c r="I25" s="145"/>
      <c r="J25" s="27"/>
      <c r="K25" s="27"/>
      <c r="L25" s="27"/>
      <c r="M25" s="27"/>
      <c r="N25" s="27"/>
      <c r="O25" s="27"/>
      <c r="P25" s="27"/>
      <c r="Q25" s="146"/>
    </row>
    <row r="26" spans="1:17" ht="18" customHeight="1" x14ac:dyDescent="0.2">
      <c r="A26" s="144"/>
      <c r="B26" s="25"/>
      <c r="C26" s="27"/>
      <c r="D26" s="27"/>
      <c r="E26" s="27"/>
      <c r="F26" s="27"/>
      <c r="G26" s="25"/>
      <c r="H26" s="141"/>
      <c r="I26" s="145"/>
      <c r="J26" s="27"/>
      <c r="K26" s="27"/>
      <c r="L26" s="27"/>
      <c r="M26" s="27"/>
      <c r="N26" s="27"/>
      <c r="O26" s="27"/>
      <c r="P26" s="27"/>
      <c r="Q26" s="146"/>
    </row>
    <row r="27" spans="1:17" ht="18" customHeight="1" thickBot="1" x14ac:dyDescent="0.25">
      <c r="A27" s="147"/>
      <c r="B27" s="148">
        <f>SUM(B10:B26)</f>
        <v>672.84999999999991</v>
      </c>
      <c r="C27" s="28"/>
      <c r="D27" s="28">
        <f>SUM(D10:D26)</f>
        <v>0.21250009999999997</v>
      </c>
      <c r="E27" s="149"/>
      <c r="F27" s="149"/>
      <c r="G27" s="148"/>
      <c r="H27" s="148"/>
      <c r="I27" s="28"/>
      <c r="J27" s="149"/>
      <c r="K27" s="28"/>
      <c r="L27" s="149"/>
      <c r="M27" s="149"/>
      <c r="N27" s="149"/>
      <c r="O27" s="28"/>
      <c r="P27" s="28"/>
      <c r="Q27" s="150"/>
    </row>
    <row r="28" spans="1:17" ht="16.5" thickTop="1" thickBot="1" x14ac:dyDescent="0.25">
      <c r="A28" s="20" t="s">
        <v>49</v>
      </c>
      <c r="C28" s="29"/>
    </row>
    <row r="29" spans="1:17" ht="15.75" thickTop="1" x14ac:dyDescent="0.2">
      <c r="A29" s="48" t="s">
        <v>50</v>
      </c>
      <c r="B29" s="49"/>
      <c r="C29" s="23"/>
      <c r="D29" s="50">
        <v>4</v>
      </c>
      <c r="E29" s="51" t="s">
        <v>5</v>
      </c>
      <c r="G29" s="48" t="s">
        <v>51</v>
      </c>
      <c r="H29" s="49"/>
      <c r="I29" s="49"/>
      <c r="J29" s="49"/>
      <c r="K29" s="49">
        <v>32</v>
      </c>
      <c r="L29" s="54" t="s">
        <v>12</v>
      </c>
      <c r="M29" s="223" t="s">
        <v>246</v>
      </c>
      <c r="N29" s="224"/>
      <c r="O29" s="225" t="s">
        <v>137</v>
      </c>
      <c r="P29" s="226"/>
      <c r="Q29" s="30" t="s">
        <v>143</v>
      </c>
    </row>
    <row r="30" spans="1:17" x14ac:dyDescent="0.2">
      <c r="A30" s="31" t="s">
        <v>52</v>
      </c>
      <c r="B30" s="32"/>
      <c r="C30" s="26"/>
      <c r="D30" s="45">
        <f>B27</f>
        <v>672.84999999999991</v>
      </c>
      <c r="E30" s="33" t="s">
        <v>11</v>
      </c>
      <c r="G30" s="31" t="s">
        <v>144</v>
      </c>
      <c r="H30" s="32"/>
      <c r="I30" s="32"/>
      <c r="J30" s="32"/>
      <c r="K30" s="151">
        <v>79</v>
      </c>
      <c r="L30" s="55" t="s">
        <v>11</v>
      </c>
      <c r="M30" s="230" t="s">
        <v>264</v>
      </c>
      <c r="N30" s="231"/>
      <c r="O30" s="232">
        <v>653.25</v>
      </c>
      <c r="P30" s="231"/>
      <c r="Q30" s="35">
        <f>ROUNDUP(O$30/6,0)</f>
        <v>109</v>
      </c>
    </row>
    <row r="31" spans="1:17" x14ac:dyDescent="0.2">
      <c r="A31" s="31" t="s">
        <v>53</v>
      </c>
      <c r="B31" s="32"/>
      <c r="C31" s="26"/>
      <c r="D31" s="46">
        <f>D29/D30</f>
        <v>5.9448614104183704E-3</v>
      </c>
      <c r="E31" s="33" t="s">
        <v>54</v>
      </c>
      <c r="G31" s="31" t="s">
        <v>55</v>
      </c>
      <c r="H31" s="32"/>
      <c r="I31" s="32"/>
      <c r="J31" s="32"/>
      <c r="K31" s="151">
        <v>60</v>
      </c>
      <c r="L31" s="55" t="s">
        <v>11</v>
      </c>
      <c r="M31" s="230" t="s">
        <v>267</v>
      </c>
      <c r="N31" s="231"/>
      <c r="O31" s="232">
        <v>9.6</v>
      </c>
      <c r="P31" s="231"/>
      <c r="Q31" s="35">
        <f>ROUNDUP(O$31/6,0)</f>
        <v>2</v>
      </c>
    </row>
    <row r="32" spans="1:17" ht="15.75" thickBot="1" x14ac:dyDescent="0.25">
      <c r="A32" s="52" t="s">
        <v>56</v>
      </c>
      <c r="B32" s="53"/>
      <c r="C32" s="36"/>
      <c r="D32" s="47">
        <v>140</v>
      </c>
      <c r="E32" s="37"/>
      <c r="G32" s="52" t="s">
        <v>57</v>
      </c>
      <c r="H32" s="53"/>
      <c r="I32" s="53"/>
      <c r="J32" s="53"/>
      <c r="K32" s="56">
        <v>10</v>
      </c>
      <c r="L32" s="57" t="s">
        <v>13</v>
      </c>
      <c r="M32" s="230" t="s">
        <v>263</v>
      </c>
      <c r="N32" s="231"/>
      <c r="O32" s="232">
        <v>10</v>
      </c>
      <c r="P32" s="231"/>
      <c r="Q32" s="35">
        <f>ROUNDUP(O$32/6,0)</f>
        <v>2</v>
      </c>
    </row>
    <row r="33" spans="1:17" ht="15.75" thickTop="1" x14ac:dyDescent="0.2">
      <c r="A33" s="34"/>
      <c r="B33" s="34"/>
      <c r="C33" s="135"/>
      <c r="D33" s="136"/>
      <c r="E33" s="136"/>
      <c r="G33" s="34"/>
      <c r="H33" s="34"/>
      <c r="I33" s="34"/>
      <c r="J33" s="34"/>
      <c r="K33" s="137"/>
      <c r="L33" s="34"/>
      <c r="M33" s="230" t="s">
        <v>265</v>
      </c>
      <c r="N33" s="231"/>
      <c r="O33" s="232"/>
      <c r="P33" s="231"/>
      <c r="Q33" s="35">
        <f>ROUNDUP(O$33/6,0)</f>
        <v>0</v>
      </c>
    </row>
    <row r="34" spans="1:17" x14ac:dyDescent="0.2">
      <c r="A34" s="154"/>
      <c r="B34" s="154"/>
      <c r="C34" s="155"/>
      <c r="D34" s="155"/>
      <c r="E34" s="155"/>
      <c r="F34" s="155"/>
      <c r="G34" s="34"/>
      <c r="H34" s="34"/>
      <c r="I34" s="34"/>
      <c r="J34" s="34"/>
      <c r="K34" s="137"/>
      <c r="L34" s="34"/>
      <c r="M34" s="230" t="s">
        <v>60</v>
      </c>
      <c r="N34" s="231"/>
      <c r="O34" s="232"/>
      <c r="P34" s="231"/>
      <c r="Q34" s="35">
        <f>ROUNDUP(O$34/6,0)</f>
        <v>0</v>
      </c>
    </row>
    <row r="35" spans="1:17" ht="16.5" customHeight="1" x14ac:dyDescent="0.2">
      <c r="A35" s="154"/>
      <c r="B35" s="154"/>
      <c r="C35" s="154" t="s">
        <v>268</v>
      </c>
      <c r="D35" s="154"/>
      <c r="E35" s="154"/>
      <c r="F35" s="154"/>
      <c r="G35" s="34"/>
      <c r="H35" s="34"/>
      <c r="I35" s="34"/>
      <c r="J35" s="34"/>
      <c r="K35" s="137"/>
      <c r="L35" s="34"/>
      <c r="M35" s="230" t="s">
        <v>266</v>
      </c>
      <c r="N35" s="231"/>
      <c r="O35" s="232"/>
      <c r="P35" s="231"/>
      <c r="Q35" s="35">
        <f>ROUNDUP(O$35/6,0)</f>
        <v>0</v>
      </c>
    </row>
    <row r="36" spans="1:17" ht="15" customHeight="1" thickBot="1" x14ac:dyDescent="0.25">
      <c r="A36" s="158"/>
      <c r="B36" s="154"/>
      <c r="C36" s="154" t="s">
        <v>284</v>
      </c>
      <c r="D36" s="154"/>
      <c r="E36" s="154"/>
      <c r="F36" s="154"/>
      <c r="M36" s="227" t="s">
        <v>61</v>
      </c>
      <c r="N36" s="228"/>
      <c r="O36" s="229">
        <f>SUM(O30:P35)</f>
        <v>672.85</v>
      </c>
      <c r="P36" s="228"/>
      <c r="Q36" s="38">
        <f>SUM(Q30:Q35)</f>
        <v>113</v>
      </c>
    </row>
    <row r="37" spans="1:17" ht="15" customHeight="1" thickTop="1" x14ac:dyDescent="0.2">
      <c r="A37" s="154"/>
      <c r="B37" s="154"/>
      <c r="C37" s="154"/>
      <c r="D37" s="154"/>
      <c r="E37" s="154"/>
      <c r="F37" s="154" t="s">
        <v>260</v>
      </c>
    </row>
    <row r="38" spans="1:17" ht="15" customHeight="1" x14ac:dyDescent="0.2">
      <c r="A38" s="154"/>
      <c r="B38" s="154"/>
      <c r="C38" s="154"/>
      <c r="D38" s="154"/>
      <c r="E38" s="154"/>
      <c r="F38" s="154"/>
    </row>
    <row r="39" spans="1:17" ht="15" customHeight="1" x14ac:dyDescent="0.2">
      <c r="A39" s="154"/>
      <c r="B39" s="154"/>
      <c r="C39" s="154"/>
      <c r="D39" s="154"/>
      <c r="E39" s="154"/>
      <c r="F39" s="154"/>
    </row>
    <row r="40" spans="1:17" ht="15" customHeight="1" x14ac:dyDescent="0.2">
      <c r="A40" s="154"/>
      <c r="B40" s="154"/>
      <c r="C40" s="154"/>
      <c r="D40" s="154"/>
      <c r="E40" s="154"/>
      <c r="F40" s="154"/>
    </row>
    <row r="41" spans="1:17" ht="15" customHeight="1" x14ac:dyDescent="0.2">
      <c r="A41" s="154"/>
      <c r="B41" s="154"/>
      <c r="C41" s="154"/>
      <c r="D41" s="154"/>
      <c r="E41" s="154"/>
      <c r="F41" s="154"/>
    </row>
    <row r="42" spans="1:17" ht="15" customHeight="1" x14ac:dyDescent="0.2"/>
  </sheetData>
  <mergeCells count="25">
    <mergeCell ref="M29:N29"/>
    <mergeCell ref="O29:P29"/>
    <mergeCell ref="M36:N36"/>
    <mergeCell ref="O36:P36"/>
    <mergeCell ref="M31:N31"/>
    <mergeCell ref="O31:P31"/>
    <mergeCell ref="M32:N32"/>
    <mergeCell ref="O32:P32"/>
    <mergeCell ref="M33:N33"/>
    <mergeCell ref="O33:P33"/>
    <mergeCell ref="M30:N30"/>
    <mergeCell ref="O30:P30"/>
    <mergeCell ref="M35:N35"/>
    <mergeCell ref="O35:P35"/>
    <mergeCell ref="M34:N34"/>
    <mergeCell ref="O34:P34"/>
    <mergeCell ref="A1:Q1"/>
    <mergeCell ref="A2:Q2"/>
    <mergeCell ref="M6:N7"/>
    <mergeCell ref="O6:P7"/>
    <mergeCell ref="Q6:Q8"/>
    <mergeCell ref="A4:Q4"/>
    <mergeCell ref="A6:A8"/>
    <mergeCell ref="C6:F7"/>
    <mergeCell ref="G6:H6"/>
  </mergeCells>
  <phoneticPr fontId="0" type="noConversion"/>
  <printOptions horizontalCentered="1"/>
  <pageMargins left="0.39370078740157483" right="0.39370078740157483" top="0.62992125984251968" bottom="0.39370078740157483" header="0.39370078740157483" footer="0.39370078740157483"/>
  <pageSetup paperSize="9" scale="60" orientation="landscape" horizontalDpi="4294967295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A3" sqref="A3"/>
    </sheetView>
  </sheetViews>
  <sheetFormatPr defaultRowHeight="12.75" x14ac:dyDescent="0.2"/>
  <cols>
    <col min="8" max="8" width="10.85546875" customWidth="1"/>
    <col min="10" max="10" width="11.28515625" customWidth="1"/>
  </cols>
  <sheetData>
    <row r="2" spans="1:10" x14ac:dyDescent="0.2">
      <c r="A2" t="s">
        <v>171</v>
      </c>
      <c r="H2" t="s">
        <v>165</v>
      </c>
    </row>
    <row r="3" spans="1:10" x14ac:dyDescent="0.2">
      <c r="A3" t="s">
        <v>285</v>
      </c>
    </row>
    <row r="4" spans="1:10" x14ac:dyDescent="0.2">
      <c r="B4" t="s">
        <v>158</v>
      </c>
      <c r="D4" s="71">
        <v>45</v>
      </c>
      <c r="E4" t="s">
        <v>2</v>
      </c>
      <c r="H4" t="s">
        <v>166</v>
      </c>
      <c r="I4" s="71">
        <v>1.1000000000000001</v>
      </c>
    </row>
    <row r="5" spans="1:10" x14ac:dyDescent="0.2">
      <c r="B5" t="s">
        <v>153</v>
      </c>
      <c r="D5" s="71">
        <v>2.94</v>
      </c>
      <c r="E5" t="s">
        <v>133</v>
      </c>
      <c r="F5" s="69">
        <f>(1+(D5/100))</f>
        <v>1.0294000000000001</v>
      </c>
      <c r="H5" t="s">
        <v>167</v>
      </c>
      <c r="I5" s="71">
        <v>1.4</v>
      </c>
    </row>
    <row r="6" spans="1:10" x14ac:dyDescent="0.2">
      <c r="B6" t="s">
        <v>154</v>
      </c>
      <c r="C6" s="71">
        <v>2018</v>
      </c>
      <c r="H6" t="s">
        <v>168</v>
      </c>
      <c r="I6" s="71">
        <v>150</v>
      </c>
      <c r="J6" t="s">
        <v>169</v>
      </c>
    </row>
    <row r="7" spans="1:10" x14ac:dyDescent="0.2">
      <c r="B7" t="s">
        <v>155</v>
      </c>
      <c r="C7" s="71">
        <v>2028</v>
      </c>
      <c r="H7" t="s">
        <v>170</v>
      </c>
      <c r="I7" s="71">
        <v>5</v>
      </c>
    </row>
    <row r="9" spans="1:10" x14ac:dyDescent="0.2">
      <c r="B9" s="233" t="s">
        <v>156</v>
      </c>
      <c r="C9" s="233" t="s">
        <v>157</v>
      </c>
      <c r="D9" s="233" t="s">
        <v>161</v>
      </c>
      <c r="E9" s="233"/>
      <c r="F9" s="233" t="s">
        <v>162</v>
      </c>
      <c r="G9" s="233"/>
      <c r="H9" s="233" t="s">
        <v>163</v>
      </c>
      <c r="I9" s="233"/>
      <c r="J9" s="70" t="s">
        <v>164</v>
      </c>
    </row>
    <row r="10" spans="1:10" ht="14.25" x14ac:dyDescent="0.2">
      <c r="B10" s="233"/>
      <c r="C10" s="233"/>
      <c r="D10" s="70" t="s">
        <v>159</v>
      </c>
      <c r="E10" s="70" t="s">
        <v>160</v>
      </c>
      <c r="F10" s="70" t="s">
        <v>159</v>
      </c>
      <c r="G10" s="70" t="s">
        <v>160</v>
      </c>
      <c r="H10" s="70" t="s">
        <v>159</v>
      </c>
      <c r="I10" s="70" t="s">
        <v>160</v>
      </c>
      <c r="J10" s="70" t="s">
        <v>7</v>
      </c>
    </row>
    <row r="11" spans="1:10" x14ac:dyDescent="0.2">
      <c r="B11" s="70">
        <f>C6</f>
        <v>2018</v>
      </c>
      <c r="C11" s="70">
        <f>D4</f>
        <v>45</v>
      </c>
      <c r="D11" s="72">
        <f>(C11*$I$6/24)/3600</f>
        <v>7.8125E-2</v>
      </c>
      <c r="E11" s="72">
        <f>D11*3600/1000</f>
        <v>0.28125</v>
      </c>
      <c r="F11" s="72">
        <f>D11*$I$4</f>
        <v>8.59375E-2</v>
      </c>
      <c r="G11" s="72">
        <f>E11*$I$4</f>
        <v>0.30937500000000001</v>
      </c>
      <c r="H11" s="72">
        <f>F11*$I$5</f>
        <v>0.12031249999999999</v>
      </c>
      <c r="I11" s="72">
        <f>G11*$I$5</f>
        <v>0.43312499999999998</v>
      </c>
      <c r="J11" s="130">
        <f>C11*$I$6*$I$4/$I$7</f>
        <v>1485.0000000000002</v>
      </c>
    </row>
    <row r="12" spans="1:10" x14ac:dyDescent="0.2">
      <c r="A12">
        <v>1</v>
      </c>
      <c r="B12" s="70">
        <f>B11+1</f>
        <v>2019</v>
      </c>
      <c r="C12" s="132">
        <f>ROUNDDOWN(C11*$F$5,0)</f>
        <v>46</v>
      </c>
      <c r="D12" s="72">
        <f t="shared" ref="D12:D21" si="0">(C12*$I$6/24)/3600</f>
        <v>7.9861111111111105E-2</v>
      </c>
      <c r="E12" s="72">
        <f t="shared" ref="E12:E21" si="1">D12*3600/1000</f>
        <v>0.28749999999999998</v>
      </c>
      <c r="F12" s="72">
        <f t="shared" ref="F12:F21" si="2">D12*$I$4</f>
        <v>8.7847222222222229E-2</v>
      </c>
      <c r="G12" s="72">
        <f t="shared" ref="G12:G21" si="3">E12*$I$4</f>
        <v>0.31624999999999998</v>
      </c>
      <c r="H12" s="72">
        <f t="shared" ref="H12:H21" si="4">F12*$I$5</f>
        <v>0.12298611111111112</v>
      </c>
      <c r="I12" s="72">
        <f t="shared" ref="I12:I21" si="5">G12*$I$5</f>
        <v>0.44274999999999992</v>
      </c>
      <c r="J12" s="130">
        <f t="shared" ref="J12:J21" si="6">C12*$I$6*$I$4/$I$7</f>
        <v>1518.0000000000002</v>
      </c>
    </row>
    <row r="13" spans="1:10" x14ac:dyDescent="0.2">
      <c r="A13">
        <v>2</v>
      </c>
      <c r="B13" s="70">
        <f t="shared" ref="B13:B21" si="7">B12+1</f>
        <v>2020</v>
      </c>
      <c r="C13" s="132">
        <f t="shared" ref="C13:C21" si="8">C12*$F$5</f>
        <v>47.352400000000003</v>
      </c>
      <c r="D13" s="72">
        <f t="shared" si="0"/>
        <v>8.2209027777777791E-2</v>
      </c>
      <c r="E13" s="72">
        <f t="shared" si="1"/>
        <v>0.29595250000000006</v>
      </c>
      <c r="F13" s="72">
        <f t="shared" si="2"/>
        <v>9.0429930555555579E-2</v>
      </c>
      <c r="G13" s="72">
        <f t="shared" si="3"/>
        <v>0.32554775000000008</v>
      </c>
      <c r="H13" s="72">
        <f t="shared" si="4"/>
        <v>0.1266019027777778</v>
      </c>
      <c r="I13" s="72">
        <f t="shared" si="5"/>
        <v>0.45576685000000006</v>
      </c>
      <c r="J13" s="130">
        <f t="shared" si="6"/>
        <v>1562.6292000000003</v>
      </c>
    </row>
    <row r="14" spans="1:10" x14ac:dyDescent="0.2">
      <c r="A14">
        <v>3</v>
      </c>
      <c r="B14" s="70">
        <f t="shared" si="7"/>
        <v>2021</v>
      </c>
      <c r="C14" s="132">
        <f t="shared" si="8"/>
        <v>48.744560560000011</v>
      </c>
      <c r="D14" s="72">
        <f t="shared" si="0"/>
        <v>8.4625973194444454E-2</v>
      </c>
      <c r="E14" s="72">
        <f t="shared" si="1"/>
        <v>0.30465350350000003</v>
      </c>
      <c r="F14" s="72">
        <f t="shared" si="2"/>
        <v>9.3088570513888913E-2</v>
      </c>
      <c r="G14" s="72">
        <f t="shared" si="3"/>
        <v>0.33511885385000006</v>
      </c>
      <c r="H14" s="72">
        <f t="shared" si="4"/>
        <v>0.13032399871944447</v>
      </c>
      <c r="I14" s="72">
        <f t="shared" si="5"/>
        <v>0.46916639539000005</v>
      </c>
      <c r="J14" s="130">
        <f t="shared" si="6"/>
        <v>1608.5704984800004</v>
      </c>
    </row>
    <row r="15" spans="1:10" x14ac:dyDescent="0.2">
      <c r="A15">
        <v>4</v>
      </c>
      <c r="B15" s="70">
        <f t="shared" si="7"/>
        <v>2022</v>
      </c>
      <c r="C15" s="132">
        <f t="shared" si="8"/>
        <v>50.177650640464016</v>
      </c>
      <c r="D15" s="72">
        <f t="shared" si="0"/>
        <v>8.711397680636114E-2</v>
      </c>
      <c r="E15" s="72">
        <f t="shared" si="1"/>
        <v>0.31361031650290011</v>
      </c>
      <c r="F15" s="72">
        <f t="shared" si="2"/>
        <v>9.5825374486997267E-2</v>
      </c>
      <c r="G15" s="72">
        <f t="shared" si="3"/>
        <v>0.34497134815319014</v>
      </c>
      <c r="H15" s="72">
        <f t="shared" si="4"/>
        <v>0.13415552428179617</v>
      </c>
      <c r="I15" s="72">
        <f t="shared" si="5"/>
        <v>0.48295988741446616</v>
      </c>
      <c r="J15" s="130">
        <f t="shared" si="6"/>
        <v>1655.8624711353127</v>
      </c>
    </row>
    <row r="16" spans="1:10" x14ac:dyDescent="0.2">
      <c r="A16">
        <v>5</v>
      </c>
      <c r="B16" s="70">
        <f t="shared" si="7"/>
        <v>2023</v>
      </c>
      <c r="C16" s="132">
        <f t="shared" si="8"/>
        <v>51.652873569293661</v>
      </c>
      <c r="D16" s="72">
        <f t="shared" si="0"/>
        <v>8.9675127724468159E-2</v>
      </c>
      <c r="E16" s="72">
        <f t="shared" si="1"/>
        <v>0.32283045980808539</v>
      </c>
      <c r="F16" s="72">
        <f t="shared" si="2"/>
        <v>9.8642640496914985E-2</v>
      </c>
      <c r="G16" s="72">
        <f t="shared" si="3"/>
        <v>0.35511350578889395</v>
      </c>
      <c r="H16" s="72">
        <f t="shared" si="4"/>
        <v>0.13809969669568098</v>
      </c>
      <c r="I16" s="72">
        <f t="shared" si="5"/>
        <v>0.49715890810445151</v>
      </c>
      <c r="J16" s="130">
        <f t="shared" si="6"/>
        <v>1704.5448277866908</v>
      </c>
    </row>
    <row r="17" spans="1:10" x14ac:dyDescent="0.2">
      <c r="A17">
        <v>6</v>
      </c>
      <c r="B17" s="70">
        <f t="shared" si="7"/>
        <v>2024</v>
      </c>
      <c r="C17" s="132">
        <f t="shared" si="8"/>
        <v>53.1714680522309</v>
      </c>
      <c r="D17" s="72">
        <f t="shared" si="0"/>
        <v>9.2311576479567517E-2</v>
      </c>
      <c r="E17" s="72">
        <f t="shared" si="1"/>
        <v>0.33232167532644308</v>
      </c>
      <c r="F17" s="72">
        <f t="shared" si="2"/>
        <v>0.10154273412752428</v>
      </c>
      <c r="G17" s="72">
        <f t="shared" si="3"/>
        <v>0.36555384285908743</v>
      </c>
      <c r="H17" s="72">
        <f t="shared" si="4"/>
        <v>0.14215982777853398</v>
      </c>
      <c r="I17" s="72">
        <f t="shared" si="5"/>
        <v>0.51177538000272238</v>
      </c>
      <c r="J17" s="130">
        <f t="shared" si="6"/>
        <v>1754.6584457236197</v>
      </c>
    </row>
    <row r="18" spans="1:10" x14ac:dyDescent="0.2">
      <c r="A18">
        <v>7</v>
      </c>
      <c r="B18" s="70">
        <f t="shared" si="7"/>
        <v>2025</v>
      </c>
      <c r="C18" s="132">
        <f t="shared" si="8"/>
        <v>54.734709212966493</v>
      </c>
      <c r="D18" s="72">
        <f t="shared" si="0"/>
        <v>9.5025536828066817E-2</v>
      </c>
      <c r="E18" s="72">
        <f t="shared" si="1"/>
        <v>0.34209193258104059</v>
      </c>
      <c r="F18" s="72">
        <f t="shared" si="2"/>
        <v>0.10452809051087351</v>
      </c>
      <c r="G18" s="72">
        <f t="shared" si="3"/>
        <v>0.37630112583914466</v>
      </c>
      <c r="H18" s="72">
        <f t="shared" si="4"/>
        <v>0.1463393267152229</v>
      </c>
      <c r="I18" s="72">
        <f t="shared" si="5"/>
        <v>0.52682157617480252</v>
      </c>
      <c r="J18" s="130">
        <f t="shared" si="6"/>
        <v>1806.2454040278947</v>
      </c>
    </row>
    <row r="19" spans="1:10" x14ac:dyDescent="0.2">
      <c r="A19">
        <v>8</v>
      </c>
      <c r="B19" s="70">
        <f t="shared" si="7"/>
        <v>2026</v>
      </c>
      <c r="C19" s="132">
        <f t="shared" si="8"/>
        <v>56.343909663827716</v>
      </c>
      <c r="D19" s="72">
        <f t="shared" si="0"/>
        <v>9.7819287610812003E-2</v>
      </c>
      <c r="E19" s="72">
        <f t="shared" si="1"/>
        <v>0.35214943539892324</v>
      </c>
      <c r="F19" s="72">
        <f t="shared" si="2"/>
        <v>0.10760121637189321</v>
      </c>
      <c r="G19" s="72">
        <f t="shared" si="3"/>
        <v>0.38736437893881559</v>
      </c>
      <c r="H19" s="72">
        <f t="shared" si="4"/>
        <v>0.15064170292065049</v>
      </c>
      <c r="I19" s="72">
        <f t="shared" si="5"/>
        <v>0.54231013051434174</v>
      </c>
      <c r="J19" s="130">
        <f t="shared" si="6"/>
        <v>1859.3490189063148</v>
      </c>
    </row>
    <row r="20" spans="1:10" x14ac:dyDescent="0.2">
      <c r="A20">
        <v>9</v>
      </c>
      <c r="B20" s="70">
        <f t="shared" si="7"/>
        <v>2027</v>
      </c>
      <c r="C20" s="132">
        <f t="shared" si="8"/>
        <v>58.000420607944257</v>
      </c>
      <c r="D20" s="72">
        <f t="shared" si="0"/>
        <v>0.10069517466656988</v>
      </c>
      <c r="E20" s="72">
        <f t="shared" si="1"/>
        <v>0.36250262879965156</v>
      </c>
      <c r="F20" s="72">
        <f t="shared" si="2"/>
        <v>0.11076469213322687</v>
      </c>
      <c r="G20" s="72">
        <f t="shared" si="3"/>
        <v>0.39875289167961675</v>
      </c>
      <c r="H20" s="72">
        <f t="shared" si="4"/>
        <v>0.15507056898651761</v>
      </c>
      <c r="I20" s="72">
        <f t="shared" si="5"/>
        <v>0.55825404835146342</v>
      </c>
      <c r="J20" s="130">
        <f t="shared" si="6"/>
        <v>1914.0138800621603</v>
      </c>
    </row>
    <row r="21" spans="1:10" x14ac:dyDescent="0.2">
      <c r="A21">
        <v>10</v>
      </c>
      <c r="B21" s="70">
        <f t="shared" si="7"/>
        <v>2028</v>
      </c>
      <c r="C21" s="132">
        <f t="shared" si="8"/>
        <v>59.705632973817821</v>
      </c>
      <c r="D21" s="72">
        <f t="shared" si="0"/>
        <v>0.10365561280176705</v>
      </c>
      <c r="E21" s="72">
        <f t="shared" si="1"/>
        <v>0.37316020608636136</v>
      </c>
      <c r="F21" s="72">
        <f t="shared" si="2"/>
        <v>0.11402117408194376</v>
      </c>
      <c r="G21" s="72">
        <f t="shared" si="3"/>
        <v>0.4104762266949975</v>
      </c>
      <c r="H21" s="72">
        <f t="shared" si="4"/>
        <v>0.15962964371472124</v>
      </c>
      <c r="I21" s="72">
        <f t="shared" si="5"/>
        <v>0.57466671737299646</v>
      </c>
      <c r="J21" s="130">
        <f t="shared" si="6"/>
        <v>1970.2858881359884</v>
      </c>
    </row>
    <row r="23" spans="1:10" x14ac:dyDescent="0.2">
      <c r="C23" s="152">
        <f>C11*F5^10</f>
        <v>60.124870353177471</v>
      </c>
    </row>
    <row r="26" spans="1:10" x14ac:dyDescent="0.2">
      <c r="E26" t="s">
        <v>268</v>
      </c>
    </row>
    <row r="27" spans="1:10" x14ac:dyDescent="0.2">
      <c r="E27" t="s">
        <v>269</v>
      </c>
    </row>
  </sheetData>
  <mergeCells count="5">
    <mergeCell ref="B9:B10"/>
    <mergeCell ref="D9:E9"/>
    <mergeCell ref="F9:G9"/>
    <mergeCell ref="H9:I9"/>
    <mergeCell ref="C9:C10"/>
  </mergeCells>
  <phoneticPr fontId="0" type="noConversion"/>
  <pageMargins left="0.78740157499999996" right="0.78740157499999996" top="0.984251969" bottom="0.984251969" header="0.49212598499999999" footer="0.49212598499999999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Memória de Cálculo</vt:lpstr>
      <vt:lpstr>Planilha cálculo REDE</vt:lpstr>
      <vt:lpstr>cal pop e demanda</vt:lpstr>
      <vt:lpstr>'Memória de Cálculo'!Area_de_impressao</vt:lpstr>
      <vt:lpstr>'Planilha cálculo REDE'!Area_de_impressao</vt:lpstr>
      <vt:lpstr>'Memória de Cálculo'!Titulos_de_impressao</vt:lpstr>
    </vt:vector>
  </TitlesOfParts>
  <Company>CONT ENGENHARIA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DIMENSIONAMENTO BOMBA SUBMERSA</dc:title>
  <dc:creator>PEDRO RODRIGUES CONTENTE</dc:creator>
  <cp:lastModifiedBy>ADMIN</cp:lastModifiedBy>
  <cp:lastPrinted>2018-05-23T15:50:41Z</cp:lastPrinted>
  <dcterms:created xsi:type="dcterms:W3CDTF">1998-09-16T13:26:26Z</dcterms:created>
  <dcterms:modified xsi:type="dcterms:W3CDTF">2018-06-13T13:00:29Z</dcterms:modified>
</cp:coreProperties>
</file>