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DITAIS DE LICITACOES\EDITAIS DE LICITAÇÃO - ANO 2019\EDITAIS TOMADA DE PREÇOS 2019\T.P 010 2019 - Fechamento Pavilhão de Exposições\"/>
    </mc:Choice>
  </mc:AlternateContent>
  <bookViews>
    <workbookView xWindow="-15" yWindow="-15" windowWidth="15420" windowHeight="4095" tabRatio="949" firstSheet="7" activeTab="7"/>
  </bookViews>
  <sheets>
    <sheet name="FRANCISCO" sheetId="41" state="hidden" r:id="rId1"/>
    <sheet name="MARECHAL" sheetId="40" state="hidden" r:id="rId2"/>
    <sheet name="ABRAÃO" sheetId="39" state="hidden" r:id="rId3"/>
    <sheet name="JOÃO" sheetId="38" state="hidden" r:id="rId4"/>
    <sheet name="BRUNO" sheetId="37" state="hidden" r:id="rId5"/>
    <sheet name="GENERAL" sheetId="43" state="hidden" r:id="rId6"/>
    <sheet name="GETÚLIO E JOÃO" sheetId="44" state="hidden" r:id="rId7"/>
    <sheet name="ORÇAMENTO GLOBAL" sheetId="45" r:id="rId8"/>
    <sheet name="ORC GLOBAL" sheetId="30" state="hidden" r:id="rId9"/>
    <sheet name="CRO JOAO" sheetId="32" state="hidden" r:id="rId10"/>
  </sheets>
  <definedNames>
    <definedName name="_xlnm.Print_Titles" localSheetId="2">ABRAÃO!$1:$14</definedName>
    <definedName name="_xlnm.Print_Titles" localSheetId="4">BRUNO!$1:$15</definedName>
    <definedName name="_xlnm.Print_Titles" localSheetId="9">'CRO JOAO'!$1:$11</definedName>
    <definedName name="_xlnm.Print_Titles" localSheetId="0">FRANCISCO!$1:$14</definedName>
    <definedName name="_xlnm.Print_Titles" localSheetId="3">JOÃO!$1:$14</definedName>
    <definedName name="_xlnm.Print_Titles" localSheetId="1">MARECHAL!$1:$12</definedName>
    <definedName name="_xlnm.Print_Titles" localSheetId="8">'ORC GLOBAL'!$1:$15</definedName>
  </definedNames>
  <calcPr calcId="152511"/>
</workbook>
</file>

<file path=xl/calcChain.xml><?xml version="1.0" encoding="utf-8"?>
<calcChain xmlns="http://schemas.openxmlformats.org/spreadsheetml/2006/main">
  <c r="I32" i="45" l="1"/>
  <c r="I39" i="45" s="1"/>
  <c r="J32" i="45"/>
  <c r="I33" i="45"/>
  <c r="J33" i="45"/>
  <c r="K33" i="45" s="1"/>
  <c r="I34" i="45"/>
  <c r="J34" i="45"/>
  <c r="K34" i="45"/>
  <c r="I35" i="45"/>
  <c r="K35" i="45" s="1"/>
  <c r="J35" i="45"/>
  <c r="I36" i="45"/>
  <c r="K36" i="45"/>
  <c r="J36" i="45"/>
  <c r="I37" i="45"/>
  <c r="J37" i="45"/>
  <c r="K37" i="45" s="1"/>
  <c r="I38" i="45"/>
  <c r="J38" i="45"/>
  <c r="K38" i="45"/>
  <c r="G29" i="45"/>
  <c r="H29" i="45"/>
  <c r="G45" i="30"/>
  <c r="K45" i="30" s="1"/>
  <c r="G43" i="30"/>
  <c r="G42" i="30"/>
  <c r="G34" i="30"/>
  <c r="G32" i="30"/>
  <c r="G31" i="30"/>
  <c r="I12" i="30"/>
  <c r="I11" i="30"/>
  <c r="F28" i="44"/>
  <c r="F28" i="43"/>
  <c r="F27" i="39"/>
  <c r="F25" i="40"/>
  <c r="F25" i="41"/>
  <c r="F26" i="41"/>
  <c r="H31" i="45"/>
  <c r="G31" i="45"/>
  <c r="H30" i="45"/>
  <c r="G30" i="45"/>
  <c r="J28" i="45"/>
  <c r="I28" i="45"/>
  <c r="J27" i="45"/>
  <c r="I27" i="45"/>
  <c r="I26" i="45"/>
  <c r="J26" i="45"/>
  <c r="I25" i="45"/>
  <c r="J24" i="45"/>
  <c r="I24" i="45"/>
  <c r="H23" i="45"/>
  <c r="G23" i="45"/>
  <c r="H22" i="45"/>
  <c r="F41" i="44"/>
  <c r="F40" i="44"/>
  <c r="F39" i="44"/>
  <c r="F41" i="43"/>
  <c r="F40" i="43"/>
  <c r="F39" i="43"/>
  <c r="F41" i="37"/>
  <c r="F40" i="37"/>
  <c r="F39" i="37"/>
  <c r="F40" i="38"/>
  <c r="F39" i="38"/>
  <c r="G40" i="30" s="1"/>
  <c r="K40" i="30" s="1"/>
  <c r="F38" i="38"/>
  <c r="F39" i="39"/>
  <c r="F38" i="39"/>
  <c r="F40" i="39"/>
  <c r="F37" i="40"/>
  <c r="F36" i="40"/>
  <c r="F35" i="40"/>
  <c r="F35" i="41"/>
  <c r="G41" i="30" s="1"/>
  <c r="F34" i="41"/>
  <c r="F33" i="41"/>
  <c r="G44" i="30"/>
  <c r="K44" i="30" s="1"/>
  <c r="G35" i="30"/>
  <c r="G33" i="30"/>
  <c r="K33" i="30" s="1"/>
  <c r="F22" i="44"/>
  <c r="F30" i="44"/>
  <c r="F30" i="43"/>
  <c r="F22" i="43"/>
  <c r="F28" i="37"/>
  <c r="F22" i="37"/>
  <c r="F27" i="38"/>
  <c r="G28" i="30" s="1"/>
  <c r="H38" i="44"/>
  <c r="G38" i="44"/>
  <c r="H37" i="44"/>
  <c r="G37" i="44"/>
  <c r="H36" i="44"/>
  <c r="G36" i="44"/>
  <c r="H27" i="44"/>
  <c r="G27" i="44"/>
  <c r="H26" i="44"/>
  <c r="G26" i="44"/>
  <c r="H25" i="44"/>
  <c r="G25" i="44"/>
  <c r="F24" i="44"/>
  <c r="F21" i="44"/>
  <c r="F23" i="44"/>
  <c r="F18" i="44"/>
  <c r="H38" i="43"/>
  <c r="G38" i="43"/>
  <c r="H37" i="43"/>
  <c r="G37" i="43"/>
  <c r="H36" i="43"/>
  <c r="G36" i="43"/>
  <c r="H27" i="43"/>
  <c r="G27" i="43"/>
  <c r="H26" i="43"/>
  <c r="G26" i="43"/>
  <c r="H25" i="43"/>
  <c r="G25" i="43"/>
  <c r="F24" i="43"/>
  <c r="F21" i="43"/>
  <c r="F18" i="43"/>
  <c r="A1" i="32"/>
  <c r="A2" i="32"/>
  <c r="A4" i="32"/>
  <c r="A5" i="32"/>
  <c r="B5" i="32"/>
  <c r="A6" i="32"/>
  <c r="A7" i="32"/>
  <c r="A13" i="32"/>
  <c r="B13" i="32"/>
  <c r="G14" i="32"/>
  <c r="A15" i="32"/>
  <c r="B15" i="32"/>
  <c r="G15" i="32"/>
  <c r="A16" i="32"/>
  <c r="B16" i="32"/>
  <c r="G16" i="32"/>
  <c r="A17" i="32"/>
  <c r="B17" i="32"/>
  <c r="G17" i="32"/>
  <c r="A18" i="32"/>
  <c r="B18" i="32"/>
  <c r="G18" i="32"/>
  <c r="A19" i="32"/>
  <c r="B19" i="32"/>
  <c r="G19" i="32"/>
  <c r="A20" i="32"/>
  <c r="B20" i="32"/>
  <c r="G20" i="32"/>
  <c r="A22" i="32"/>
  <c r="B22" i="32"/>
  <c r="A23" i="32"/>
  <c r="B23" i="32"/>
  <c r="G23" i="32"/>
  <c r="A24" i="32"/>
  <c r="B24" i="32"/>
  <c r="G24" i="32"/>
  <c r="A25" i="32"/>
  <c r="B25" i="32"/>
  <c r="G25" i="32"/>
  <c r="A26" i="32"/>
  <c r="B26" i="32"/>
  <c r="G26" i="32"/>
  <c r="A27" i="32"/>
  <c r="B27" i="32"/>
  <c r="G27" i="32"/>
  <c r="A28" i="32"/>
  <c r="B28" i="32"/>
  <c r="G28" i="32"/>
  <c r="A29" i="32"/>
  <c r="B29" i="32"/>
  <c r="G29" i="32"/>
  <c r="A30" i="32"/>
  <c r="B30" i="32"/>
  <c r="G30" i="32"/>
  <c r="A32" i="32"/>
  <c r="B32" i="32"/>
  <c r="A33" i="32"/>
  <c r="B33" i="32"/>
  <c r="G33" i="32"/>
  <c r="A34" i="32"/>
  <c r="B34" i="32"/>
  <c r="G34" i="32"/>
  <c r="A35" i="32"/>
  <c r="B35" i="32"/>
  <c r="G35" i="32"/>
  <c r="A36" i="32"/>
  <c r="B36" i="32"/>
  <c r="G36" i="32"/>
  <c r="A37" i="32"/>
  <c r="B37" i="32"/>
  <c r="G37" i="32"/>
  <c r="A38" i="32"/>
  <c r="B38" i="32"/>
  <c r="G38" i="32"/>
  <c r="A41" i="32"/>
  <c r="B41" i="32"/>
  <c r="A42" i="32"/>
  <c r="B42" i="32"/>
  <c r="G42" i="32"/>
  <c r="A43" i="32"/>
  <c r="B43" i="32"/>
  <c r="G43" i="32"/>
  <c r="A44" i="32"/>
  <c r="B44" i="32"/>
  <c r="G44" i="32"/>
  <c r="A45" i="32"/>
  <c r="B45" i="32"/>
  <c r="G45" i="32"/>
  <c r="H47" i="32"/>
  <c r="I47" i="32"/>
  <c r="J47" i="32"/>
  <c r="J48" i="32" s="1"/>
  <c r="K47" i="32"/>
  <c r="H48" i="32"/>
  <c r="I48" i="32"/>
  <c r="K48" i="32"/>
  <c r="I18" i="30"/>
  <c r="I19" i="30"/>
  <c r="G19" i="44" s="1"/>
  <c r="I19" i="44"/>
  <c r="I20" i="30"/>
  <c r="G20" i="44" s="1"/>
  <c r="I20" i="44" s="1"/>
  <c r="G20" i="43"/>
  <c r="I20" i="43" s="1"/>
  <c r="K20" i="43" s="1"/>
  <c r="J20" i="30"/>
  <c r="H20" i="43" s="1"/>
  <c r="J20" i="43" s="1"/>
  <c r="H20" i="44"/>
  <c r="J20" i="44" s="1"/>
  <c r="I21" i="30"/>
  <c r="I22" i="30"/>
  <c r="G22" i="44" s="1"/>
  <c r="G19" i="41"/>
  <c r="J22" i="30"/>
  <c r="H23" i="30"/>
  <c r="I23" i="30" s="1"/>
  <c r="J23" i="30" s="1"/>
  <c r="H24" i="30"/>
  <c r="I24" i="30" s="1"/>
  <c r="I28" i="30"/>
  <c r="G27" i="39" s="1"/>
  <c r="I27" i="39" s="1"/>
  <c r="I29" i="30"/>
  <c r="I30" i="30"/>
  <c r="G30" i="44"/>
  <c r="I30" i="44" s="1"/>
  <c r="I31" i="30"/>
  <c r="G31" i="44" s="1"/>
  <c r="I31" i="44" s="1"/>
  <c r="G31" i="43"/>
  <c r="I31" i="43" s="1"/>
  <c r="J31" i="30"/>
  <c r="H31" i="43" s="1"/>
  <c r="J31" i="43" s="1"/>
  <c r="I32" i="30"/>
  <c r="G32" i="37" s="1"/>
  <c r="I33" i="30"/>
  <c r="G33" i="44"/>
  <c r="I33" i="44" s="1"/>
  <c r="I34" i="30"/>
  <c r="H35" i="30"/>
  <c r="I39" i="30"/>
  <c r="I40" i="30"/>
  <c r="G35" i="41" s="1"/>
  <c r="I35" i="41" s="1"/>
  <c r="K35" i="41" s="1"/>
  <c r="I41" i="30"/>
  <c r="J41" i="30"/>
  <c r="I42" i="30"/>
  <c r="I43" i="30"/>
  <c r="I44" i="30"/>
  <c r="G44" i="43" s="1"/>
  <c r="I44" i="43" s="1"/>
  <c r="I45" i="30"/>
  <c r="G45" i="44" s="1"/>
  <c r="I45" i="44"/>
  <c r="F18" i="37"/>
  <c r="G18" i="37"/>
  <c r="I18" i="37" s="1"/>
  <c r="G20" i="37"/>
  <c r="I20" i="37" s="1"/>
  <c r="H20" i="37"/>
  <c r="J20" i="37"/>
  <c r="F21" i="37"/>
  <c r="G22" i="37"/>
  <c r="F23" i="37"/>
  <c r="F24" i="37"/>
  <c r="G25" i="37"/>
  <c r="H25" i="37"/>
  <c r="G26" i="37"/>
  <c r="H26" i="37"/>
  <c r="G27" i="37"/>
  <c r="H27" i="37"/>
  <c r="G29" i="37"/>
  <c r="I29" i="37" s="1"/>
  <c r="G30" i="37"/>
  <c r="G31" i="37"/>
  <c r="I31" i="37"/>
  <c r="K31" i="37" s="1"/>
  <c r="H31" i="37"/>
  <c r="J31" i="37"/>
  <c r="G33" i="37"/>
  <c r="I33" i="37"/>
  <c r="G36" i="37"/>
  <c r="H36" i="37"/>
  <c r="G37" i="37"/>
  <c r="H37" i="37"/>
  <c r="G38" i="37"/>
  <c r="H38" i="37"/>
  <c r="G40" i="37"/>
  <c r="I40" i="37"/>
  <c r="G45" i="37"/>
  <c r="I45" i="37" s="1"/>
  <c r="F17" i="38"/>
  <c r="G19" i="38"/>
  <c r="I19" i="38" s="1"/>
  <c r="H19" i="38"/>
  <c r="J19" i="38"/>
  <c r="G21" i="38"/>
  <c r="G24" i="38"/>
  <c r="H24" i="38"/>
  <c r="G25" i="38"/>
  <c r="H25" i="38"/>
  <c r="G26" i="38"/>
  <c r="H26" i="38"/>
  <c r="G29" i="38"/>
  <c r="G30" i="38"/>
  <c r="I30" i="38"/>
  <c r="G32" i="38"/>
  <c r="I32" i="38"/>
  <c r="G35" i="38"/>
  <c r="H35" i="38"/>
  <c r="G36" i="38"/>
  <c r="H36" i="38"/>
  <c r="G37" i="38"/>
  <c r="H37" i="38"/>
  <c r="G38" i="38"/>
  <c r="I38" i="38" s="1"/>
  <c r="G39" i="38"/>
  <c r="G40" i="38"/>
  <c r="I40" i="38"/>
  <c r="G41" i="38"/>
  <c r="I41" i="38" s="1"/>
  <c r="G44" i="38"/>
  <c r="I44" i="38"/>
  <c r="F17" i="39"/>
  <c r="G18" i="39"/>
  <c r="I18" i="39"/>
  <c r="G19" i="39"/>
  <c r="I19" i="39" s="1"/>
  <c r="K19" i="39" s="1"/>
  <c r="H19" i="39"/>
  <c r="J19" i="39" s="1"/>
  <c r="G21" i="39"/>
  <c r="G22" i="39"/>
  <c r="G24" i="39"/>
  <c r="H24" i="39"/>
  <c r="G25" i="39"/>
  <c r="H25" i="39"/>
  <c r="G26" i="39"/>
  <c r="H26" i="39"/>
  <c r="G29" i="39"/>
  <c r="G30" i="39"/>
  <c r="I30" i="39" s="1"/>
  <c r="H30" i="39"/>
  <c r="J30" i="39" s="1"/>
  <c r="G32" i="39"/>
  <c r="I32" i="39" s="1"/>
  <c r="G33" i="39"/>
  <c r="I33" i="39" s="1"/>
  <c r="G35" i="39"/>
  <c r="H35" i="39"/>
  <c r="G36" i="39"/>
  <c r="H36" i="39"/>
  <c r="G37" i="39"/>
  <c r="H37" i="39"/>
  <c r="G38" i="39"/>
  <c r="G40" i="39"/>
  <c r="G41" i="39"/>
  <c r="I41" i="39"/>
  <c r="G44" i="39"/>
  <c r="I44" i="39" s="1"/>
  <c r="F15" i="40"/>
  <c r="G15" i="40"/>
  <c r="I15" i="40" s="1"/>
  <c r="G16" i="40"/>
  <c r="I16" i="40"/>
  <c r="G17" i="40"/>
  <c r="I17" i="40"/>
  <c r="H17" i="40"/>
  <c r="J17" i="40"/>
  <c r="G22" i="40"/>
  <c r="H22" i="40"/>
  <c r="G23" i="40"/>
  <c r="H23" i="40"/>
  <c r="G24" i="40"/>
  <c r="H24" i="40"/>
  <c r="G25" i="40"/>
  <c r="G26" i="40"/>
  <c r="G27" i="40"/>
  <c r="I27" i="40"/>
  <c r="K27" i="40" s="1"/>
  <c r="H27" i="40"/>
  <c r="J27" i="40"/>
  <c r="G29" i="40"/>
  <c r="I29" i="40"/>
  <c r="G32" i="40"/>
  <c r="H32" i="40"/>
  <c r="G33" i="40"/>
  <c r="H33" i="40"/>
  <c r="G34" i="40"/>
  <c r="H34" i="40"/>
  <c r="G35" i="40"/>
  <c r="G37" i="40"/>
  <c r="I37" i="40" s="1"/>
  <c r="H37" i="40"/>
  <c r="J37" i="40" s="1"/>
  <c r="G38" i="40"/>
  <c r="I38" i="40"/>
  <c r="G40" i="40"/>
  <c r="I40" i="40"/>
  <c r="G41" i="40"/>
  <c r="I41" i="40"/>
  <c r="F17" i="41"/>
  <c r="G22" i="41"/>
  <c r="H22" i="41"/>
  <c r="G23" i="41"/>
  <c r="H23" i="41"/>
  <c r="G24" i="41"/>
  <c r="H24" i="41"/>
  <c r="G26" i="41"/>
  <c r="G27" i="41"/>
  <c r="I27" i="41"/>
  <c r="K27" i="41" s="1"/>
  <c r="H27" i="41"/>
  <c r="J27" i="41"/>
  <c r="G28" i="41"/>
  <c r="I28" i="41" s="1"/>
  <c r="G30" i="41"/>
  <c r="H30" i="41"/>
  <c r="G31" i="41"/>
  <c r="H31" i="41"/>
  <c r="G32" i="41"/>
  <c r="H32" i="41"/>
  <c r="G36" i="41"/>
  <c r="I36" i="41" s="1"/>
  <c r="G39" i="41"/>
  <c r="I39" i="41"/>
  <c r="K20" i="30"/>
  <c r="H35" i="41"/>
  <c r="J35" i="41" s="1"/>
  <c r="G23" i="39"/>
  <c r="G24" i="37"/>
  <c r="H22" i="44"/>
  <c r="J22" i="44" s="1"/>
  <c r="I22" i="44"/>
  <c r="F23" i="43"/>
  <c r="F18" i="40"/>
  <c r="G47" i="32"/>
  <c r="F16" i="32" s="1"/>
  <c r="F18" i="41"/>
  <c r="F19" i="41" s="1"/>
  <c r="F29" i="32"/>
  <c r="G33" i="43"/>
  <c r="I33" i="43" s="1"/>
  <c r="K33" i="43" s="1"/>
  <c r="J33" i="30"/>
  <c r="H33" i="44" s="1"/>
  <c r="J33" i="44" s="1"/>
  <c r="K33" i="44" s="1"/>
  <c r="I26" i="41"/>
  <c r="J18" i="45"/>
  <c r="I18" i="45"/>
  <c r="J17" i="45"/>
  <c r="J25" i="45"/>
  <c r="I17" i="45"/>
  <c r="I39" i="38"/>
  <c r="I35" i="40"/>
  <c r="I38" i="39"/>
  <c r="F29" i="39"/>
  <c r="I40" i="39"/>
  <c r="F20" i="40"/>
  <c r="F21" i="40" s="1"/>
  <c r="K31" i="30"/>
  <c r="F19" i="40"/>
  <c r="F26" i="40"/>
  <c r="I25" i="40"/>
  <c r="K19" i="30"/>
  <c r="H33" i="37"/>
  <c r="J33" i="37" s="1"/>
  <c r="H33" i="43"/>
  <c r="J33" i="43" s="1"/>
  <c r="H29" i="40"/>
  <c r="J29" i="40" s="1"/>
  <c r="I19" i="45"/>
  <c r="K19" i="45"/>
  <c r="J19" i="45"/>
  <c r="J21" i="45"/>
  <c r="I29" i="39"/>
  <c r="I20" i="45"/>
  <c r="K20" i="45" s="1"/>
  <c r="J20" i="45"/>
  <c r="F30" i="32"/>
  <c r="F23" i="32"/>
  <c r="F36" i="32"/>
  <c r="F34" i="32"/>
  <c r="F43" i="32"/>
  <c r="F14" i="32"/>
  <c r="F47" i="32" s="1"/>
  <c r="K30" i="39"/>
  <c r="F45" i="32"/>
  <c r="F44" i="32"/>
  <c r="F24" i="32"/>
  <c r="F35" i="32"/>
  <c r="F15" i="32"/>
  <c r="F42" i="32"/>
  <c r="F33" i="32"/>
  <c r="F28" i="32"/>
  <c r="F25" i="32"/>
  <c r="F20" i="32"/>
  <c r="F17" i="32"/>
  <c r="K27" i="45"/>
  <c r="K32" i="45"/>
  <c r="K39" i="45"/>
  <c r="J29" i="45"/>
  <c r="K26" i="45"/>
  <c r="K24" i="45"/>
  <c r="I29" i="45"/>
  <c r="L33" i="30"/>
  <c r="M33" i="30"/>
  <c r="K25" i="45"/>
  <c r="K28" i="45"/>
  <c r="K18" i="45"/>
  <c r="K17" i="45"/>
  <c r="I26" i="40"/>
  <c r="K42" i="30"/>
  <c r="F20" i="41"/>
  <c r="F18" i="32"/>
  <c r="F26" i="32"/>
  <c r="F27" i="32"/>
  <c r="F37" i="32"/>
  <c r="G18" i="30"/>
  <c r="K37" i="40"/>
  <c r="K17" i="40"/>
  <c r="F38" i="32"/>
  <c r="F20" i="38"/>
  <c r="G44" i="44"/>
  <c r="I44" i="44" s="1"/>
  <c r="J44" i="30"/>
  <c r="G38" i="41"/>
  <c r="I38" i="41"/>
  <c r="G43" i="38"/>
  <c r="I43" i="38" s="1"/>
  <c r="G43" i="39"/>
  <c r="I43" i="39"/>
  <c r="G44" i="37"/>
  <c r="I44" i="37" s="1"/>
  <c r="G32" i="43"/>
  <c r="I32" i="43" s="1"/>
  <c r="K32" i="43" s="1"/>
  <c r="J32" i="30"/>
  <c r="H28" i="41" s="1"/>
  <c r="I32" i="37"/>
  <c r="G31" i="38"/>
  <c r="I31" i="38" s="1"/>
  <c r="G31" i="39"/>
  <c r="I31" i="39" s="1"/>
  <c r="G28" i="40"/>
  <c r="I28" i="40"/>
  <c r="J21" i="30"/>
  <c r="H21" i="44" s="1"/>
  <c r="J21" i="44" s="1"/>
  <c r="K21" i="44" s="1"/>
  <c r="G21" i="44"/>
  <c r="I21" i="44" s="1"/>
  <c r="G18" i="41"/>
  <c r="I18" i="41" s="1"/>
  <c r="G21" i="43"/>
  <c r="I21" i="43" s="1"/>
  <c r="G21" i="37"/>
  <c r="I21" i="37" s="1"/>
  <c r="K21" i="37" s="1"/>
  <c r="G20" i="38"/>
  <c r="G18" i="40"/>
  <c r="I18" i="40"/>
  <c r="G20" i="39"/>
  <c r="I35" i="30"/>
  <c r="G35" i="37" s="1"/>
  <c r="I22" i="37"/>
  <c r="G41" i="44"/>
  <c r="I41" i="44" s="1"/>
  <c r="G33" i="41"/>
  <c r="G39" i="44"/>
  <c r="I39" i="44" s="1"/>
  <c r="G39" i="37"/>
  <c r="I39" i="37" s="1"/>
  <c r="J39" i="30"/>
  <c r="H31" i="44"/>
  <c r="J31" i="44" s="1"/>
  <c r="K31" i="44" s="1"/>
  <c r="H30" i="38"/>
  <c r="J30" i="38" s="1"/>
  <c r="K30" i="38" s="1"/>
  <c r="G28" i="43"/>
  <c r="I28" i="43"/>
  <c r="G39" i="43"/>
  <c r="I39" i="43" s="1"/>
  <c r="F30" i="37"/>
  <c r="L31" i="30"/>
  <c r="M31" i="30" s="1"/>
  <c r="L20" i="30"/>
  <c r="M20" i="30" s="1"/>
  <c r="G39" i="30"/>
  <c r="L39" i="30" s="1"/>
  <c r="I33" i="41"/>
  <c r="G41" i="37"/>
  <c r="I41" i="37" s="1"/>
  <c r="G42" i="43"/>
  <c r="I42" i="43"/>
  <c r="J42" i="30"/>
  <c r="H38" i="40" s="1"/>
  <c r="J38" i="40" s="1"/>
  <c r="K38" i="40" s="1"/>
  <c r="G42" i="37"/>
  <c r="I42" i="37" s="1"/>
  <c r="G34" i="41"/>
  <c r="I34" i="41" s="1"/>
  <c r="G40" i="44"/>
  <c r="I40" i="44" s="1"/>
  <c r="J40" i="30"/>
  <c r="H39" i="39" s="1"/>
  <c r="J39" i="39" s="1"/>
  <c r="G39" i="39"/>
  <c r="I39" i="39" s="1"/>
  <c r="G40" i="43"/>
  <c r="I40" i="43"/>
  <c r="G30" i="43"/>
  <c r="I30" i="43" s="1"/>
  <c r="J30" i="30"/>
  <c r="H30" i="44" s="1"/>
  <c r="G23" i="44"/>
  <c r="I23" i="44"/>
  <c r="G23" i="43"/>
  <c r="I23" i="43" s="1"/>
  <c r="J19" i="30"/>
  <c r="H19" i="44" s="1"/>
  <c r="J19" i="44" s="1"/>
  <c r="K19" i="44" s="1"/>
  <c r="G19" i="37"/>
  <c r="I19" i="37" s="1"/>
  <c r="G18" i="38"/>
  <c r="I18" i="38" s="1"/>
  <c r="K18" i="38" s="1"/>
  <c r="G41" i="43"/>
  <c r="I41" i="43" s="1"/>
  <c r="G42" i="44"/>
  <c r="I42" i="44"/>
  <c r="G22" i="43"/>
  <c r="I22" i="43" s="1"/>
  <c r="G29" i="43"/>
  <c r="I29" i="43" s="1"/>
  <c r="G29" i="44"/>
  <c r="I29" i="44" s="1"/>
  <c r="G43" i="44"/>
  <c r="I43" i="44" s="1"/>
  <c r="G19" i="40"/>
  <c r="I19" i="40" s="1"/>
  <c r="G34" i="43"/>
  <c r="I34" i="43" s="1"/>
  <c r="G43" i="43"/>
  <c r="I43" i="43"/>
  <c r="J30" i="44"/>
  <c r="K30" i="44" s="1"/>
  <c r="H29" i="38"/>
  <c r="H30" i="43"/>
  <c r="J30" i="43" s="1"/>
  <c r="H26" i="40"/>
  <c r="J26" i="40" s="1"/>
  <c r="H26" i="41"/>
  <c r="J26" i="41" s="1"/>
  <c r="K26" i="41" s="1"/>
  <c r="H29" i="39"/>
  <c r="J29" i="39" s="1"/>
  <c r="K29" i="39" s="1"/>
  <c r="H42" i="43"/>
  <c r="J42" i="43" s="1"/>
  <c r="K42" i="43" s="1"/>
  <c r="H41" i="39"/>
  <c r="J41" i="39" s="1"/>
  <c r="K41" i="39" s="1"/>
  <c r="H36" i="41"/>
  <c r="J36" i="41" s="1"/>
  <c r="K36" i="41" s="1"/>
  <c r="H39" i="43"/>
  <c r="J39" i="43" s="1"/>
  <c r="H39" i="44"/>
  <c r="J39" i="44" s="1"/>
  <c r="H33" i="41"/>
  <c r="J33" i="41" s="1"/>
  <c r="K33" i="41" s="1"/>
  <c r="H35" i="40"/>
  <c r="J35" i="40" s="1"/>
  <c r="K35" i="40" s="1"/>
  <c r="H38" i="38"/>
  <c r="J38" i="38" s="1"/>
  <c r="H38" i="39"/>
  <c r="J38" i="39" s="1"/>
  <c r="K38" i="39" s="1"/>
  <c r="H39" i="37"/>
  <c r="J39" i="37" s="1"/>
  <c r="K39" i="37" s="1"/>
  <c r="K18" i="30"/>
  <c r="L19" i="30"/>
  <c r="M19" i="30" s="1"/>
  <c r="H19" i="43"/>
  <c r="J19" i="43" s="1"/>
  <c r="H16" i="40"/>
  <c r="J16" i="40" s="1"/>
  <c r="K16" i="40" s="1"/>
  <c r="H19" i="37"/>
  <c r="J19" i="37" s="1"/>
  <c r="K19" i="37" s="1"/>
  <c r="H18" i="38"/>
  <c r="J18" i="38" s="1"/>
  <c r="G35" i="44"/>
  <c r="I35" i="44" s="1"/>
  <c r="I35" i="37"/>
  <c r="G31" i="40"/>
  <c r="I31" i="40" s="1"/>
  <c r="G34" i="39"/>
  <c r="I34" i="39" s="1"/>
  <c r="K35" i="30"/>
  <c r="H32" i="43"/>
  <c r="J32" i="43" s="1"/>
  <c r="H31" i="38"/>
  <c r="J31" i="38" s="1"/>
  <c r="L32" i="30"/>
  <c r="H32" i="44"/>
  <c r="J32" i="44" s="1"/>
  <c r="J28" i="41"/>
  <c r="K28" i="41" s="1"/>
  <c r="H31" i="39"/>
  <c r="J31" i="39" s="1"/>
  <c r="H28" i="40"/>
  <c r="J28" i="40" s="1"/>
  <c r="L40" i="30"/>
  <c r="M40" i="30" s="1"/>
  <c r="F22" i="38"/>
  <c r="F23" i="38" s="1"/>
  <c r="F21" i="38"/>
  <c r="I20" i="38"/>
  <c r="I19" i="41"/>
  <c r="H20" i="38"/>
  <c r="J20" i="38" s="1"/>
  <c r="K20" i="38" s="1"/>
  <c r="H21" i="37"/>
  <c r="J21" i="37" s="1"/>
  <c r="H21" i="43"/>
  <c r="J21" i="43" s="1"/>
  <c r="H18" i="41"/>
  <c r="J18" i="41" s="1"/>
  <c r="H18" i="40"/>
  <c r="J18" i="40" s="1"/>
  <c r="K18" i="40" s="1"/>
  <c r="H20" i="39"/>
  <c r="K39" i="30"/>
  <c r="M39" i="30" s="1"/>
  <c r="K39" i="43"/>
  <c r="K31" i="38"/>
  <c r="H44" i="43"/>
  <c r="J44" i="43"/>
  <c r="K44" i="43" s="1"/>
  <c r="H44" i="37"/>
  <c r="J44" i="37" s="1"/>
  <c r="H43" i="39"/>
  <c r="J43" i="39"/>
  <c r="H40" i="40"/>
  <c r="J40" i="40"/>
  <c r="K40" i="40" s="1"/>
  <c r="H44" i="44"/>
  <c r="J44" i="44" s="1"/>
  <c r="H38" i="41"/>
  <c r="J38" i="41"/>
  <c r="H43" i="38"/>
  <c r="J43" i="38" s="1"/>
  <c r="K43" i="38"/>
  <c r="L44" i="30"/>
  <c r="M44" i="30" s="1"/>
  <c r="F21" i="41"/>
  <c r="K26" i="40"/>
  <c r="I21" i="38"/>
  <c r="K38" i="38"/>
  <c r="I21" i="45"/>
  <c r="I41" i="45"/>
  <c r="K39" i="39" l="1"/>
  <c r="K30" i="43"/>
  <c r="K43" i="39"/>
  <c r="K23" i="44"/>
  <c r="K40" i="44"/>
  <c r="K21" i="43"/>
  <c r="K31" i="39"/>
  <c r="K18" i="41"/>
  <c r="K44" i="44"/>
  <c r="J19" i="41"/>
  <c r="K19" i="41" s="1"/>
  <c r="I30" i="37"/>
  <c r="K39" i="44"/>
  <c r="I46" i="44"/>
  <c r="I36" i="43"/>
  <c r="K42" i="37"/>
  <c r="K28" i="40"/>
  <c r="K44" i="37"/>
  <c r="K38" i="41"/>
  <c r="K29" i="45"/>
  <c r="K40" i="38"/>
  <c r="H23" i="44"/>
  <c r="J23" i="44" s="1"/>
  <c r="H23" i="43"/>
  <c r="H23" i="37"/>
  <c r="J23" i="37" s="1"/>
  <c r="H22" i="38"/>
  <c r="J22" i="38" s="1"/>
  <c r="H22" i="39"/>
  <c r="H20" i="40"/>
  <c r="H20" i="41"/>
  <c r="J20" i="41" s="1"/>
  <c r="H40" i="43"/>
  <c r="J40" i="43" s="1"/>
  <c r="H40" i="44"/>
  <c r="J40" i="44" s="1"/>
  <c r="H36" i="40"/>
  <c r="J36" i="40" s="1"/>
  <c r="H34" i="41"/>
  <c r="J34" i="41" s="1"/>
  <c r="H39" i="38"/>
  <c r="J39" i="38" s="1"/>
  <c r="H40" i="37"/>
  <c r="J40" i="37" s="1"/>
  <c r="K40" i="37" s="1"/>
  <c r="J35" i="30"/>
  <c r="H32" i="37"/>
  <c r="J32" i="37" s="1"/>
  <c r="K32" i="37" s="1"/>
  <c r="G35" i="43"/>
  <c r="I35" i="43" s="1"/>
  <c r="G34" i="38"/>
  <c r="I34" i="38" s="1"/>
  <c r="H18" i="39"/>
  <c r="J18" i="39" s="1"/>
  <c r="K18" i="39" s="1"/>
  <c r="L42" i="30"/>
  <c r="M42" i="30" s="1"/>
  <c r="H41" i="38"/>
  <c r="J41" i="38" s="1"/>
  <c r="K41" i="38" s="1"/>
  <c r="H42" i="37"/>
  <c r="J42" i="37" s="1"/>
  <c r="H42" i="44"/>
  <c r="J42" i="44" s="1"/>
  <c r="K42" i="44" s="1"/>
  <c r="H30" i="37"/>
  <c r="J30" i="37" s="1"/>
  <c r="G32" i="44"/>
  <c r="I32" i="44" s="1"/>
  <c r="K32" i="44" s="1"/>
  <c r="G20" i="40"/>
  <c r="K19" i="38"/>
  <c r="K33" i="37"/>
  <c r="K20" i="37"/>
  <c r="K31" i="43"/>
  <c r="K28" i="30"/>
  <c r="L41" i="30"/>
  <c r="K41" i="30"/>
  <c r="M41" i="30" s="1"/>
  <c r="K32" i="30"/>
  <c r="M32" i="30" s="1"/>
  <c r="K21" i="45"/>
  <c r="K41" i="45" s="1"/>
  <c r="J23" i="43"/>
  <c r="K23" i="43" s="1"/>
  <c r="F20" i="39"/>
  <c r="H41" i="44"/>
  <c r="J41" i="44" s="1"/>
  <c r="K41" i="44" s="1"/>
  <c r="H41" i="43"/>
  <c r="J41" i="43" s="1"/>
  <c r="K41" i="43" s="1"/>
  <c r="H41" i="37"/>
  <c r="J41" i="37" s="1"/>
  <c r="K41" i="37" s="1"/>
  <c r="H40" i="38"/>
  <c r="J40" i="38" s="1"/>
  <c r="H40" i="39"/>
  <c r="J40" i="39" s="1"/>
  <c r="J29" i="30"/>
  <c r="G28" i="38"/>
  <c r="I28" i="38" s="1"/>
  <c r="G28" i="39"/>
  <c r="I28" i="39" s="1"/>
  <c r="K29" i="30"/>
  <c r="G23" i="37"/>
  <c r="I23" i="37" s="1"/>
  <c r="G22" i="38"/>
  <c r="I22" i="38" s="1"/>
  <c r="K22" i="38" s="1"/>
  <c r="G20" i="41"/>
  <c r="I20" i="41" s="1"/>
  <c r="G18" i="43"/>
  <c r="I18" i="43" s="1"/>
  <c r="G17" i="39"/>
  <c r="I17" i="39" s="1"/>
  <c r="G17" i="41"/>
  <c r="I17" i="41" s="1"/>
  <c r="G17" i="38"/>
  <c r="I17" i="38" s="1"/>
  <c r="G18" i="44"/>
  <c r="I18" i="44" s="1"/>
  <c r="J18" i="30"/>
  <c r="K34" i="30"/>
  <c r="K22" i="44"/>
  <c r="K29" i="40"/>
  <c r="I24" i="37"/>
  <c r="J28" i="30"/>
  <c r="G28" i="37"/>
  <c r="I28" i="37" s="1"/>
  <c r="G25" i="41"/>
  <c r="I25" i="41" s="1"/>
  <c r="G28" i="44"/>
  <c r="I28" i="44" s="1"/>
  <c r="G27" i="38"/>
  <c r="I27" i="38" s="1"/>
  <c r="H19" i="41"/>
  <c r="H21" i="39"/>
  <c r="H19" i="40"/>
  <c r="J19" i="40" s="1"/>
  <c r="K19" i="40" s="1"/>
  <c r="H21" i="38"/>
  <c r="J21" i="38" s="1"/>
  <c r="K21" i="38" s="1"/>
  <c r="H22" i="37"/>
  <c r="J22" i="37" s="1"/>
  <c r="K22" i="37" s="1"/>
  <c r="H22" i="43"/>
  <c r="J22" i="43" s="1"/>
  <c r="K22" i="43" s="1"/>
  <c r="K20" i="44"/>
  <c r="J43" i="30"/>
  <c r="G37" i="41"/>
  <c r="I37" i="41" s="1"/>
  <c r="G42" i="38"/>
  <c r="I42" i="38" s="1"/>
  <c r="G39" i="40"/>
  <c r="I39" i="40" s="1"/>
  <c r="K43" i="30"/>
  <c r="G43" i="37"/>
  <c r="I43" i="37" s="1"/>
  <c r="G42" i="39"/>
  <c r="I42" i="39" s="1"/>
  <c r="G34" i="44"/>
  <c r="I34" i="44" s="1"/>
  <c r="G33" i="38"/>
  <c r="I33" i="38" s="1"/>
  <c r="G29" i="41"/>
  <c r="I29" i="41" s="1"/>
  <c r="J34" i="30"/>
  <c r="G34" i="37"/>
  <c r="I34" i="37" s="1"/>
  <c r="G30" i="40"/>
  <c r="I30" i="40" s="1"/>
  <c r="G24" i="44"/>
  <c r="I24" i="44" s="1"/>
  <c r="G23" i="38"/>
  <c r="I23" i="38" s="1"/>
  <c r="G24" i="43"/>
  <c r="I24" i="43" s="1"/>
  <c r="J24" i="30"/>
  <c r="G21" i="41"/>
  <c r="I21" i="41" s="1"/>
  <c r="G21" i="40"/>
  <c r="I21" i="40" s="1"/>
  <c r="I20" i="40"/>
  <c r="K20" i="40" s="1"/>
  <c r="H32" i="39"/>
  <c r="J32" i="39" s="1"/>
  <c r="K32" i="39" s="1"/>
  <c r="J45" i="30"/>
  <c r="G19" i="43"/>
  <c r="I19" i="43" s="1"/>
  <c r="K19" i="43" s="1"/>
  <c r="G45" i="43"/>
  <c r="I45" i="43" s="1"/>
  <c r="F29" i="38"/>
  <c r="J39" i="45"/>
  <c r="J41" i="45" s="1"/>
  <c r="J20" i="40"/>
  <c r="H32" i="38"/>
  <c r="J32" i="38" s="1"/>
  <c r="K32" i="38" s="1"/>
  <c r="F19" i="32"/>
  <c r="G36" i="40"/>
  <c r="I36" i="40" s="1"/>
  <c r="K17" i="39" l="1"/>
  <c r="K23" i="37"/>
  <c r="I25" i="37"/>
  <c r="I42" i="40"/>
  <c r="K36" i="40"/>
  <c r="H44" i="38"/>
  <c r="J44" i="38" s="1"/>
  <c r="K44" i="38" s="1"/>
  <c r="H41" i="40"/>
  <c r="J41" i="40" s="1"/>
  <c r="K41" i="40" s="1"/>
  <c r="H44" i="39"/>
  <c r="J44" i="39" s="1"/>
  <c r="K44" i="39" s="1"/>
  <c r="H39" i="41"/>
  <c r="J39" i="41" s="1"/>
  <c r="K39" i="41" s="1"/>
  <c r="L45" i="30"/>
  <c r="M45" i="30" s="1"/>
  <c r="H45" i="44"/>
  <c r="J45" i="44" s="1"/>
  <c r="K45" i="44" s="1"/>
  <c r="H45" i="37"/>
  <c r="J45" i="37" s="1"/>
  <c r="K45" i="37" s="1"/>
  <c r="H45" i="43"/>
  <c r="J45" i="43" s="1"/>
  <c r="K45" i="43" s="1"/>
  <c r="H33" i="38"/>
  <c r="J33" i="38" s="1"/>
  <c r="H34" i="43"/>
  <c r="J34" i="43" s="1"/>
  <c r="K34" i="43" s="1"/>
  <c r="H33" i="39"/>
  <c r="J33" i="39" s="1"/>
  <c r="K33" i="39" s="1"/>
  <c r="H34" i="37"/>
  <c r="J34" i="37" s="1"/>
  <c r="K34" i="37" s="1"/>
  <c r="L34" i="30"/>
  <c r="H30" i="40"/>
  <c r="J30" i="40" s="1"/>
  <c r="H34" i="44"/>
  <c r="J34" i="44" s="1"/>
  <c r="H29" i="41"/>
  <c r="J29" i="41" s="1"/>
  <c r="I45" i="38"/>
  <c r="K27" i="38"/>
  <c r="H27" i="39"/>
  <c r="J27" i="39" s="1"/>
  <c r="H25" i="40"/>
  <c r="J25" i="40" s="1"/>
  <c r="H25" i="41"/>
  <c r="J25" i="41" s="1"/>
  <c r="J30" i="41" s="1"/>
  <c r="H28" i="44"/>
  <c r="J28" i="44" s="1"/>
  <c r="H27" i="38"/>
  <c r="J27" i="38" s="1"/>
  <c r="H28" i="43"/>
  <c r="J28" i="43" s="1"/>
  <c r="H28" i="37"/>
  <c r="J28" i="37" s="1"/>
  <c r="J36" i="37" s="1"/>
  <c r="M34" i="30"/>
  <c r="I22" i="41"/>
  <c r="F21" i="39"/>
  <c r="G21" i="30"/>
  <c r="I20" i="39"/>
  <c r="J20" i="39"/>
  <c r="F22" i="39"/>
  <c r="L28" i="30"/>
  <c r="K39" i="38"/>
  <c r="K40" i="43"/>
  <c r="K30" i="37"/>
  <c r="K46" i="30"/>
  <c r="I29" i="38"/>
  <c r="I35" i="38" s="1"/>
  <c r="G30" i="30"/>
  <c r="J29" i="38"/>
  <c r="K28" i="44"/>
  <c r="I36" i="44"/>
  <c r="I48" i="44" s="1"/>
  <c r="H18" i="43"/>
  <c r="J18" i="43" s="1"/>
  <c r="H17" i="39"/>
  <c r="J17" i="39" s="1"/>
  <c r="H15" i="40"/>
  <c r="J15" i="40" s="1"/>
  <c r="L18" i="30"/>
  <c r="H18" i="44"/>
  <c r="J18" i="44" s="1"/>
  <c r="J25" i="44" s="1"/>
  <c r="H18" i="37"/>
  <c r="J18" i="37" s="1"/>
  <c r="H17" i="38"/>
  <c r="J17" i="38" s="1"/>
  <c r="H17" i="41"/>
  <c r="J17" i="41" s="1"/>
  <c r="J22" i="41" s="1"/>
  <c r="H29" i="43"/>
  <c r="J29" i="43" s="1"/>
  <c r="K29" i="43" s="1"/>
  <c r="H29" i="44"/>
  <c r="J29" i="44" s="1"/>
  <c r="K29" i="44" s="1"/>
  <c r="L29" i="30"/>
  <c r="H28" i="38"/>
  <c r="J28" i="38" s="1"/>
  <c r="K28" i="38" s="1"/>
  <c r="H28" i="39"/>
  <c r="J28" i="39" s="1"/>
  <c r="H29" i="37"/>
  <c r="J29" i="37" s="1"/>
  <c r="K29" i="37" s="1"/>
  <c r="M28" i="30"/>
  <c r="H31" i="40"/>
  <c r="J31" i="40" s="1"/>
  <c r="K31" i="40" s="1"/>
  <c r="H35" i="37"/>
  <c r="J35" i="37" s="1"/>
  <c r="K35" i="37" s="1"/>
  <c r="H34" i="38"/>
  <c r="J34" i="38" s="1"/>
  <c r="H34" i="39"/>
  <c r="J34" i="39" s="1"/>
  <c r="K34" i="39" s="1"/>
  <c r="L35" i="30"/>
  <c r="M35" i="30" s="1"/>
  <c r="H35" i="43"/>
  <c r="J35" i="43" s="1"/>
  <c r="H35" i="44"/>
  <c r="J35" i="44" s="1"/>
  <c r="K35" i="44" s="1"/>
  <c r="J40" i="41"/>
  <c r="J42" i="41" s="1"/>
  <c r="I45" i="39"/>
  <c r="I40" i="41"/>
  <c r="K29" i="41"/>
  <c r="K24" i="37"/>
  <c r="I46" i="43"/>
  <c r="H21" i="40"/>
  <c r="J21" i="40" s="1"/>
  <c r="K21" i="40" s="1"/>
  <c r="H24" i="43"/>
  <c r="J24" i="43" s="1"/>
  <c r="H24" i="37"/>
  <c r="J24" i="37" s="1"/>
  <c r="H23" i="38"/>
  <c r="J23" i="38" s="1"/>
  <c r="K23" i="38" s="1"/>
  <c r="H23" i="39"/>
  <c r="H21" i="41"/>
  <c r="J21" i="41" s="1"/>
  <c r="K21" i="41" s="1"/>
  <c r="H24" i="44"/>
  <c r="J24" i="44" s="1"/>
  <c r="K33" i="38"/>
  <c r="H43" i="37"/>
  <c r="J43" i="37" s="1"/>
  <c r="J46" i="37" s="1"/>
  <c r="H42" i="38"/>
  <c r="J42" i="38" s="1"/>
  <c r="J45" i="38" s="1"/>
  <c r="H39" i="40"/>
  <c r="J39" i="40" s="1"/>
  <c r="J42" i="40" s="1"/>
  <c r="H37" i="41"/>
  <c r="J37" i="41" s="1"/>
  <c r="K37" i="41" s="1"/>
  <c r="H42" i="39"/>
  <c r="J42" i="39" s="1"/>
  <c r="K42" i="39" s="1"/>
  <c r="H43" i="43"/>
  <c r="J43" i="43" s="1"/>
  <c r="K43" i="43" s="1"/>
  <c r="H43" i="44"/>
  <c r="J43" i="44" s="1"/>
  <c r="K43" i="44" s="1"/>
  <c r="I30" i="41"/>
  <c r="K25" i="41"/>
  <c r="K30" i="41" s="1"/>
  <c r="I25" i="44"/>
  <c r="I25" i="43"/>
  <c r="K18" i="43"/>
  <c r="M29" i="30"/>
  <c r="K40" i="39"/>
  <c r="K45" i="39" s="1"/>
  <c r="K34" i="38"/>
  <c r="K46" i="44"/>
  <c r="K34" i="41"/>
  <c r="I22" i="40"/>
  <c r="K24" i="44"/>
  <c r="K43" i="37"/>
  <c r="K46" i="37" s="1"/>
  <c r="K30" i="40"/>
  <c r="I32" i="40"/>
  <c r="L43" i="30"/>
  <c r="L46" i="30" s="1"/>
  <c r="K24" i="43"/>
  <c r="K34" i="44"/>
  <c r="K39" i="40"/>
  <c r="K28" i="37"/>
  <c r="I36" i="37"/>
  <c r="K17" i="38"/>
  <c r="I24" i="38"/>
  <c r="K20" i="41"/>
  <c r="I35" i="39"/>
  <c r="K28" i="39"/>
  <c r="K35" i="43"/>
  <c r="I46" i="37"/>
  <c r="I48" i="37" s="1"/>
  <c r="J47" i="38" l="1"/>
  <c r="L30" i="30"/>
  <c r="K30" i="30"/>
  <c r="K24" i="38"/>
  <c r="M43" i="30"/>
  <c r="M46" i="30" s="1"/>
  <c r="I48" i="43"/>
  <c r="J24" i="38"/>
  <c r="K36" i="44"/>
  <c r="K18" i="44"/>
  <c r="K25" i="44" s="1"/>
  <c r="K48" i="44" s="1"/>
  <c r="K18" i="37"/>
  <c r="K25" i="37" s="1"/>
  <c r="J25" i="37"/>
  <c r="J48" i="37" s="1"/>
  <c r="J46" i="44"/>
  <c r="J46" i="43"/>
  <c r="L36" i="30"/>
  <c r="L21" i="30"/>
  <c r="K21" i="30"/>
  <c r="J35" i="38"/>
  <c r="J35" i="39"/>
  <c r="K27" i="39"/>
  <c r="K35" i="39" s="1"/>
  <c r="K42" i="38"/>
  <c r="J45" i="39"/>
  <c r="K40" i="41"/>
  <c r="K42" i="41" s="1"/>
  <c r="J25" i="43"/>
  <c r="K46" i="43"/>
  <c r="I22" i="39"/>
  <c r="K22" i="39" s="1"/>
  <c r="J22" i="39"/>
  <c r="F23" i="39"/>
  <c r="G23" i="30"/>
  <c r="I21" i="39"/>
  <c r="K21" i="39" s="1"/>
  <c r="J21" i="39"/>
  <c r="G22" i="30"/>
  <c r="J36" i="44"/>
  <c r="K25" i="43"/>
  <c r="M18" i="30"/>
  <c r="K42" i="40"/>
  <c r="K36" i="37"/>
  <c r="K48" i="37" s="1"/>
  <c r="K45" i="38"/>
  <c r="I42" i="41"/>
  <c r="J22" i="40"/>
  <c r="K15" i="40"/>
  <c r="K22" i="40" s="1"/>
  <c r="K29" i="38"/>
  <c r="K35" i="38" s="1"/>
  <c r="K20" i="39"/>
  <c r="K17" i="41"/>
  <c r="K22" i="41" s="1"/>
  <c r="J36" i="43"/>
  <c r="K28" i="43"/>
  <c r="K36" i="43" s="1"/>
  <c r="J32" i="40"/>
  <c r="J44" i="40" s="1"/>
  <c r="K25" i="40"/>
  <c r="K32" i="40" s="1"/>
  <c r="I47" i="38"/>
  <c r="I44" i="40"/>
  <c r="K47" i="38" l="1"/>
  <c r="L23" i="30"/>
  <c r="K23" i="30"/>
  <c r="K48" i="43"/>
  <c r="L22" i="30"/>
  <c r="L25" i="30" s="1"/>
  <c r="L48" i="30" s="1"/>
  <c r="K22" i="30"/>
  <c r="J23" i="39"/>
  <c r="J24" i="39" s="1"/>
  <c r="J47" i="39" s="1"/>
  <c r="I23" i="39"/>
  <c r="K23" i="39" s="1"/>
  <c r="K24" i="39" s="1"/>
  <c r="K47" i="39" s="1"/>
  <c r="G24" i="30"/>
  <c r="J48" i="43"/>
  <c r="M30" i="30"/>
  <c r="M36" i="30" s="1"/>
  <c r="K36" i="30"/>
  <c r="K48" i="30" s="1"/>
  <c r="K44" i="40"/>
  <c r="M21" i="30"/>
  <c r="K25" i="30"/>
  <c r="J48" i="44"/>
  <c r="M22" i="30" l="1"/>
  <c r="M25" i="30" s="1"/>
  <c r="M48" i="30" s="1"/>
  <c r="M23" i="30"/>
  <c r="L24" i="30"/>
  <c r="K24" i="30"/>
  <c r="M24" i="30" s="1"/>
  <c r="I24" i="39"/>
  <c r="I47" i="39" s="1"/>
</calcChain>
</file>

<file path=xl/sharedStrings.xml><?xml version="1.0" encoding="utf-8"?>
<sst xmlns="http://schemas.openxmlformats.org/spreadsheetml/2006/main" count="869" uniqueCount="118">
  <si>
    <t>m²</t>
  </si>
  <si>
    <t>SERVIÇOS</t>
  </si>
  <si>
    <t>UNID.</t>
  </si>
  <si>
    <t>ITEM</t>
  </si>
  <si>
    <t>PAVIMENTAÇÃO</t>
  </si>
  <si>
    <t>1.0</t>
  </si>
  <si>
    <t>VALOR TOTAL DA OBRA</t>
  </si>
  <si>
    <t>OBRA: PAVIMENTAÇÃO ASFALTICA EM CBUQ</t>
  </si>
  <si>
    <t>CRONOGRAMA FISICO-FINANCEIRO</t>
  </si>
  <si>
    <r>
      <t xml:space="preserve">( </t>
    </r>
    <r>
      <rPr>
        <b/>
        <sz val="10"/>
        <color indexed="9"/>
        <rFont val="Times New Roman"/>
        <family val="1"/>
      </rPr>
      <t xml:space="preserve">X </t>
    </r>
    <r>
      <rPr>
        <b/>
        <sz val="10"/>
        <rFont val="Times New Roman"/>
        <family val="1"/>
      </rPr>
      <t>) GLOBAL - ( X ) INDIVIDUAL</t>
    </r>
  </si>
  <si>
    <t>PESO</t>
  </si>
  <si>
    <t xml:space="preserve">CUSTO </t>
  </si>
  <si>
    <t>PERÍODO (Dias)</t>
  </si>
  <si>
    <t>TOTAL</t>
  </si>
  <si>
    <t>(%)</t>
  </si>
  <si>
    <t>(R$)</t>
  </si>
  <si>
    <t>%</t>
  </si>
  <si>
    <t>R$</t>
  </si>
  <si>
    <t>SIMPLES</t>
  </si>
  <si>
    <t>ACUMULADO</t>
  </si>
  <si>
    <t>BDI: 25%</t>
  </si>
  <si>
    <t>CUSTO</t>
  </si>
  <si>
    <t>GERAL</t>
  </si>
  <si>
    <t>m</t>
  </si>
  <si>
    <t>Extensão:</t>
  </si>
  <si>
    <t>Área:</t>
  </si>
  <si>
    <t>ESTADO DO RIO GRANDE DO SUL</t>
  </si>
  <si>
    <t>PREFEITURA DE MACHADINHO</t>
  </si>
  <si>
    <t xml:space="preserve">LOCAL: </t>
  </si>
  <si>
    <t>QUANTIT.</t>
  </si>
  <si>
    <t>Pintura de Ligação</t>
  </si>
  <si>
    <t>Camada de Brita Graduada</t>
  </si>
  <si>
    <t>Escav. Valas p/ Drenagem Profunda em Mat. 1ª Cat.</t>
  </si>
  <si>
    <t>DRENAGEM E OBRAS DE ARTE CORRENTE</t>
  </si>
  <si>
    <t>Corpo de BSTC D=30cm com Berço de Brita</t>
  </si>
  <si>
    <t>Reaterro e Apiloamento em Camadas de 20cm</t>
  </si>
  <si>
    <t>Boca para BSTC D=40cm</t>
  </si>
  <si>
    <t>Corpo de BSTC D=40cm com Berço de Brita</t>
  </si>
  <si>
    <t>Meio fio 12x15cm - Execução</t>
  </si>
  <si>
    <t>SINALIZAÇÃO</t>
  </si>
  <si>
    <t>Pintura de Faixa Horizontal com Tinta Acrilica Branca</t>
  </si>
  <si>
    <t>Pintura de Faixa Horizontal com Tinta Acrilica Amarela</t>
  </si>
  <si>
    <t>Pintura de Faixa Pedestre com Tinta Acrilica Branca</t>
  </si>
  <si>
    <t>Sinalizaçãp - Placas 50cm</t>
  </si>
  <si>
    <t>Placa de Obras</t>
  </si>
  <si>
    <t>1.1</t>
  </si>
  <si>
    <t>1.2</t>
  </si>
  <si>
    <t>1.3</t>
  </si>
  <si>
    <t>1.4</t>
  </si>
  <si>
    <t>1.5</t>
  </si>
  <si>
    <t>1.6</t>
  </si>
  <si>
    <t>2.0</t>
  </si>
  <si>
    <t>2.1</t>
  </si>
  <si>
    <t>2.3</t>
  </si>
  <si>
    <t>2.5</t>
  </si>
  <si>
    <t>2.6</t>
  </si>
  <si>
    <t>2.7</t>
  </si>
  <si>
    <t>2.8</t>
  </si>
  <si>
    <t>3.0</t>
  </si>
  <si>
    <t>3.1</t>
  </si>
  <si>
    <t>3.2</t>
  </si>
  <si>
    <t>3.3</t>
  </si>
  <si>
    <t>3.4</t>
  </si>
  <si>
    <t>3.5</t>
  </si>
  <si>
    <t>m³</t>
  </si>
  <si>
    <t>und</t>
  </si>
  <si>
    <t>TOTAL DA PAVIMENTAÇÃO</t>
  </si>
  <si>
    <t>TOTAL DA DRENAGEM E OAC</t>
  </si>
  <si>
    <t>TOTAL DA SINALIZAÇÃO</t>
  </si>
  <si>
    <t>3.6</t>
  </si>
  <si>
    <t>Sinalizaçãp - Ortogonal 50cm</t>
  </si>
  <si>
    <t>Camada Concreto Usinado a Quente - Reperfilagem</t>
  </si>
  <si>
    <t>Camada Concreto Usinado a Quente - Capa de Rolamento</t>
  </si>
  <si>
    <t>Reforço com Macadame Seco</t>
  </si>
  <si>
    <t>Boca para BSTC D=60cm</t>
  </si>
  <si>
    <t>Corpo de BSTC D=60cm com Berço de Brita</t>
  </si>
  <si>
    <t>2.2</t>
  </si>
  <si>
    <t>2.4</t>
  </si>
  <si>
    <t>ORÇAMENTO ESTIMADO</t>
  </si>
  <si>
    <t>Limpeza de Paralelepipedo</t>
  </si>
  <si>
    <t>1.7</t>
  </si>
  <si>
    <t>M.O</t>
  </si>
  <si>
    <t>MAT.</t>
  </si>
  <si>
    <t>CUSTO UNITARIO</t>
  </si>
  <si>
    <t>CUSTO PARCIAL</t>
  </si>
  <si>
    <t>3.7</t>
  </si>
  <si>
    <t>Rampa para deficiente fisico</t>
  </si>
  <si>
    <t>RUA BRUNO LANGE</t>
  </si>
  <si>
    <t>ALGACIR VITAL POLO</t>
  </si>
  <si>
    <t>ADRIANA SCHENATTO</t>
  </si>
  <si>
    <t>ENG. CIVIL CREA-RS 91580-D</t>
  </si>
  <si>
    <t xml:space="preserve">  PREFEITO MUNICIPAL</t>
  </si>
  <si>
    <t>DMT</t>
  </si>
  <si>
    <t>65 km</t>
  </si>
  <si>
    <t>ORÇAMENTO ESTIMADO (GLOBAL)</t>
  </si>
  <si>
    <t>Sinalização - Placas 50cm</t>
  </si>
  <si>
    <t>Sinalização - Ortogonal 50cm</t>
  </si>
  <si>
    <t>RUAS FRANCISCO VENTURA, MARECHAL CASTELO BRANCO, ABRAÃO BITENCOURT, JOÃO JOSÉ MEASSI, BRUNO LANGE, GENERAL OSÓRIO,</t>
  </si>
  <si>
    <t>AV. GETÚLIO VARGAS E RUA JOÃO FORMAIO</t>
  </si>
  <si>
    <t>DATA: MAIO DE 2011</t>
  </si>
  <si>
    <t>RUA FRANCISCO VENTURA</t>
  </si>
  <si>
    <t>MARECHAL CASTELO BRANCO</t>
  </si>
  <si>
    <t>RUA ABRAÃO BITENCOURT</t>
  </si>
  <si>
    <t>RUA JOÃO JOSÉ MEASSI</t>
  </si>
  <si>
    <t>RUA GENERAL OSÓRIO</t>
  </si>
  <si>
    <t>PREFEITURA MUNICIPAL DE SÃO JOSE DO OURO - RS</t>
  </si>
  <si>
    <t>CLAUDIO ANTONIO PERUZZOLO</t>
  </si>
  <si>
    <t>ENGº CIVIL CREA 60.388 - D</t>
  </si>
  <si>
    <t>ORÇAMENTO GLOBAL</t>
  </si>
  <si>
    <t>OBRA: FECHAMENTO LATERAL PAVILHÃO DE EXPOSIÇÕES</t>
  </si>
  <si>
    <t>PARQUE DE EXPOSIÇÕES AQUILES BÉRGAMO</t>
  </si>
  <si>
    <t>DATA: JULHO 2019</t>
  </si>
  <si>
    <t>Longarinas enrigecidas perfil "U" 15 x 40 x 75</t>
  </si>
  <si>
    <t>Folhas fibra translucidas TP 40</t>
  </si>
  <si>
    <t>Aluzink trapezoidal TP 40 0.50mm de espessura</t>
  </si>
  <si>
    <t>Pilaretes metálicos (entre portas)</t>
  </si>
  <si>
    <t>Portas metálicas de abrir 2 folhas com barra anti pânico e fec.</t>
  </si>
  <si>
    <t>Obs. Mão de obra, parafusos e acessórios já estão incluídos no orçamento.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</si>
</sst>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_(* #,##0.000_);_(* \(#,##0.0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0"/>
      <color indexed="9"/>
      <name val="Times New Roman"/>
      <family val="1"/>
    </font>
    <font>
      <sz val="14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1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4" fontId="3" fillId="0" borderId="5" xfId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164" fontId="3" fillId="0" borderId="6" xfId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3" fillId="0" borderId="8" xfId="0" applyFont="1" applyFill="1" applyBorder="1" applyAlignment="1">
      <alignment horizontal="left" vertical="center"/>
    </xf>
    <xf numFmtId="164" fontId="1" fillId="0" borderId="0" xfId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164" fontId="1" fillId="0" borderId="11" xfId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64" fontId="2" fillId="0" borderId="0" xfId="1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1" fillId="0" borderId="0" xfId="1" applyFont="1" applyFill="1" applyBorder="1" applyAlignment="1">
      <alignment vertical="center"/>
    </xf>
    <xf numFmtId="0" fontId="11" fillId="0" borderId="0" xfId="0" applyFont="1" applyFill="1" applyAlignment="1"/>
    <xf numFmtId="165" fontId="1" fillId="0" borderId="0" xfId="1" applyNumberFormat="1" applyFont="1" applyFill="1" applyBorder="1" applyAlignment="1">
      <alignment vertical="center"/>
    </xf>
    <xf numFmtId="165" fontId="1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17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164" fontId="1" fillId="0" borderId="23" xfId="0" applyNumberFormat="1" applyFont="1" applyFill="1" applyBorder="1" applyAlignment="1">
      <alignment vertical="center"/>
    </xf>
    <xf numFmtId="164" fontId="1" fillId="0" borderId="16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right" vertical="center"/>
    </xf>
    <xf numFmtId="0" fontId="1" fillId="0" borderId="26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164" fontId="8" fillId="0" borderId="3" xfId="0" applyNumberFormat="1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2" fontId="9" fillId="0" borderId="6" xfId="0" applyNumberFormat="1" applyFont="1" applyFill="1" applyBorder="1" applyAlignment="1">
      <alignment vertical="center"/>
    </xf>
    <xf numFmtId="164" fontId="9" fillId="0" borderId="6" xfId="0" applyNumberFormat="1" applyFont="1" applyFill="1" applyBorder="1" applyAlignment="1">
      <alignment vertical="center"/>
    </xf>
    <xf numFmtId="164" fontId="9" fillId="0" borderId="6" xfId="1" applyFont="1" applyFill="1" applyBorder="1" applyAlignment="1">
      <alignment vertical="center"/>
    </xf>
    <xf numFmtId="164" fontId="9" fillId="0" borderId="16" xfId="1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2" fontId="1" fillId="0" borderId="0" xfId="0" applyNumberFormat="1" applyFont="1" applyFill="1" applyAlignment="1">
      <alignment vertical="center"/>
    </xf>
    <xf numFmtId="164" fontId="3" fillId="0" borderId="6" xfId="1" applyFont="1" applyFill="1" applyBorder="1" applyAlignment="1">
      <alignment horizontal="center" vertical="center"/>
    </xf>
    <xf numFmtId="43" fontId="1" fillId="0" borderId="0" xfId="0" applyNumberFormat="1" applyFont="1" applyFill="1" applyAlignment="1">
      <alignment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right" vertical="center"/>
    </xf>
    <xf numFmtId="164" fontId="1" fillId="0" borderId="16" xfId="1" applyFont="1" applyFill="1" applyBorder="1" applyAlignment="1">
      <alignment vertical="center"/>
    </xf>
    <xf numFmtId="164" fontId="4" fillId="0" borderId="6" xfId="1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Alignment="1">
      <alignment horizontal="right" vertical="center"/>
    </xf>
    <xf numFmtId="164" fontId="1" fillId="0" borderId="0" xfId="0" applyNumberFormat="1" applyFont="1" applyFill="1" applyAlignment="1">
      <alignment horizontal="right" vertical="center"/>
    </xf>
    <xf numFmtId="2" fontId="3" fillId="0" borderId="6" xfId="0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2" fillId="0" borderId="20" xfId="0" applyFont="1" applyFill="1" applyBorder="1" applyAlignment="1">
      <alignment horizontal="right" vertical="center"/>
    </xf>
    <xf numFmtId="0" fontId="2" fillId="0" borderId="21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7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10</xdr:row>
      <xdr:rowOff>0</xdr:rowOff>
    </xdr:from>
    <xdr:to>
      <xdr:col>2</xdr:col>
      <xdr:colOff>600075</xdr:colOff>
      <xdr:row>10</xdr:row>
      <xdr:rowOff>0</xdr:rowOff>
    </xdr:to>
    <xdr:pic>
      <xdr:nvPicPr>
        <xdr:cNvPr id="40213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704975"/>
          <a:ext cx="1200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8</xdr:row>
      <xdr:rowOff>0</xdr:rowOff>
    </xdr:from>
    <xdr:to>
      <xdr:col>2</xdr:col>
      <xdr:colOff>600075</xdr:colOff>
      <xdr:row>8</xdr:row>
      <xdr:rowOff>0</xdr:rowOff>
    </xdr:to>
    <xdr:pic>
      <xdr:nvPicPr>
        <xdr:cNvPr id="39190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352550"/>
          <a:ext cx="1200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10</xdr:row>
      <xdr:rowOff>0</xdr:rowOff>
    </xdr:from>
    <xdr:to>
      <xdr:col>2</xdr:col>
      <xdr:colOff>600075</xdr:colOff>
      <xdr:row>10</xdr:row>
      <xdr:rowOff>0</xdr:rowOff>
    </xdr:to>
    <xdr:pic>
      <xdr:nvPicPr>
        <xdr:cNvPr id="38170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704975"/>
          <a:ext cx="1200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10</xdr:row>
      <xdr:rowOff>0</xdr:rowOff>
    </xdr:from>
    <xdr:to>
      <xdr:col>2</xdr:col>
      <xdr:colOff>590550</xdr:colOff>
      <xdr:row>10</xdr:row>
      <xdr:rowOff>0</xdr:rowOff>
    </xdr:to>
    <xdr:pic>
      <xdr:nvPicPr>
        <xdr:cNvPr id="37150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704975"/>
          <a:ext cx="1190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11</xdr:row>
      <xdr:rowOff>0</xdr:rowOff>
    </xdr:from>
    <xdr:to>
      <xdr:col>2</xdr:col>
      <xdr:colOff>600075</xdr:colOff>
      <xdr:row>11</xdr:row>
      <xdr:rowOff>0</xdr:rowOff>
    </xdr:to>
    <xdr:pic>
      <xdr:nvPicPr>
        <xdr:cNvPr id="36133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895475"/>
          <a:ext cx="1200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11</xdr:row>
      <xdr:rowOff>0</xdr:rowOff>
    </xdr:from>
    <xdr:to>
      <xdr:col>2</xdr:col>
      <xdr:colOff>600075</xdr:colOff>
      <xdr:row>11</xdr:row>
      <xdr:rowOff>0</xdr:rowOff>
    </xdr:to>
    <xdr:pic>
      <xdr:nvPicPr>
        <xdr:cNvPr id="41146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895475"/>
          <a:ext cx="1771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11</xdr:row>
      <xdr:rowOff>0</xdr:rowOff>
    </xdr:from>
    <xdr:to>
      <xdr:col>2</xdr:col>
      <xdr:colOff>600075</xdr:colOff>
      <xdr:row>11</xdr:row>
      <xdr:rowOff>0</xdr:rowOff>
    </xdr:to>
    <xdr:pic>
      <xdr:nvPicPr>
        <xdr:cNvPr id="42169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895475"/>
          <a:ext cx="1771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10</xdr:row>
      <xdr:rowOff>0</xdr:rowOff>
    </xdr:from>
    <xdr:to>
      <xdr:col>2</xdr:col>
      <xdr:colOff>600075</xdr:colOff>
      <xdr:row>10</xdr:row>
      <xdr:rowOff>0</xdr:rowOff>
    </xdr:to>
    <xdr:pic>
      <xdr:nvPicPr>
        <xdr:cNvPr id="43060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704975"/>
          <a:ext cx="1771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11</xdr:row>
      <xdr:rowOff>0</xdr:rowOff>
    </xdr:from>
    <xdr:to>
      <xdr:col>2</xdr:col>
      <xdr:colOff>619125</xdr:colOff>
      <xdr:row>11</xdr:row>
      <xdr:rowOff>0</xdr:rowOff>
    </xdr:to>
    <xdr:pic>
      <xdr:nvPicPr>
        <xdr:cNvPr id="30141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866900"/>
          <a:ext cx="1219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topLeftCell="A10" zoomScale="75" zoomScaleNormal="75" workbookViewId="0">
      <selection activeCell="K29" sqref="K29"/>
    </sheetView>
  </sheetViews>
  <sheetFormatPr defaultRowHeight="12.75" x14ac:dyDescent="0.25"/>
  <cols>
    <col min="1" max="1" width="7.28515625" style="2" customWidth="1"/>
    <col min="2" max="2" width="2.42578125" style="2" customWidth="1"/>
    <col min="3" max="3" width="26.85546875" style="2" customWidth="1"/>
    <col min="4" max="4" width="17.85546875" style="2" customWidth="1"/>
    <col min="5" max="5" width="6.85546875" style="2" customWidth="1"/>
    <col min="6" max="6" width="9.85546875" style="2" customWidth="1"/>
    <col min="7" max="7" width="10" style="2" customWidth="1"/>
    <col min="8" max="8" width="10.5703125" style="2" customWidth="1"/>
    <col min="9" max="9" width="14.7109375" style="2" customWidth="1"/>
    <col min="10" max="10" width="13.42578125" style="2" customWidth="1"/>
    <col min="11" max="11" width="15" style="2" bestFit="1" customWidth="1"/>
    <col min="12" max="12" width="12.140625" style="2" bestFit="1" customWidth="1"/>
    <col min="13" max="13" width="12.28515625" style="2" bestFit="1" customWidth="1"/>
    <col min="14" max="15" width="11" style="2" bestFit="1" customWidth="1"/>
    <col min="16" max="16384" width="9.140625" style="2"/>
  </cols>
  <sheetData>
    <row r="1" spans="1:12" x14ac:dyDescent="0.25">
      <c r="A1" s="20" t="s">
        <v>26</v>
      </c>
    </row>
    <row r="2" spans="1:12" x14ac:dyDescent="0.25">
      <c r="A2" s="20" t="s">
        <v>27</v>
      </c>
    </row>
    <row r="3" spans="1:12" x14ac:dyDescent="0.25">
      <c r="A3" s="20"/>
    </row>
    <row r="4" spans="1:12" x14ac:dyDescent="0.25">
      <c r="A4" s="20"/>
    </row>
    <row r="5" spans="1:12" ht="15" customHeight="1" x14ac:dyDescent="0.25">
      <c r="A5" s="91" t="s">
        <v>78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2" ht="15" customHeight="1" x14ac:dyDescent="0.2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</row>
    <row r="7" spans="1:12" ht="15" customHeight="1" x14ac:dyDescent="0.25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1:12" x14ac:dyDescent="0.25">
      <c r="A8" s="2" t="s">
        <v>7</v>
      </c>
    </row>
    <row r="9" spans="1:12" x14ac:dyDescent="0.25">
      <c r="A9" s="2" t="s">
        <v>28</v>
      </c>
      <c r="B9" s="2" t="s">
        <v>100</v>
      </c>
      <c r="L9" s="16"/>
    </row>
    <row r="10" spans="1:12" x14ac:dyDescent="0.25">
      <c r="A10" s="2" t="s">
        <v>99</v>
      </c>
      <c r="F10" s="2" t="s">
        <v>24</v>
      </c>
      <c r="G10" s="78">
        <v>136.75</v>
      </c>
      <c r="H10" s="2" t="s">
        <v>23</v>
      </c>
      <c r="I10" s="18"/>
      <c r="J10" s="18"/>
    </row>
    <row r="11" spans="1:12" s="27" customFormat="1" ht="12" customHeight="1" x14ac:dyDescent="0.25">
      <c r="A11" s="27" t="s">
        <v>20</v>
      </c>
      <c r="F11" s="2" t="s">
        <v>25</v>
      </c>
      <c r="G11" s="16">
        <v>2105.1</v>
      </c>
      <c r="H11" s="2" t="s">
        <v>0</v>
      </c>
      <c r="I11" s="18"/>
      <c r="J11" s="18"/>
      <c r="K11" s="2"/>
    </row>
    <row r="12" spans="1:12" ht="12" customHeight="1" x14ac:dyDescent="0.25">
      <c r="A12" s="27"/>
      <c r="B12" s="27"/>
      <c r="C12" s="27"/>
      <c r="D12" s="27"/>
      <c r="E12" s="5"/>
      <c r="F12" s="5"/>
      <c r="G12" s="27"/>
      <c r="H12" s="27"/>
      <c r="I12" s="27"/>
      <c r="J12" s="27"/>
    </row>
    <row r="13" spans="1:12" x14ac:dyDescent="0.25">
      <c r="A13" s="92" t="s">
        <v>3</v>
      </c>
      <c r="B13" s="92" t="s">
        <v>1</v>
      </c>
      <c r="C13" s="92"/>
      <c r="D13" s="92"/>
      <c r="E13" s="92" t="s">
        <v>2</v>
      </c>
      <c r="F13" s="92" t="s">
        <v>29</v>
      </c>
      <c r="G13" s="92" t="s">
        <v>83</v>
      </c>
      <c r="H13" s="92"/>
      <c r="I13" s="92" t="s">
        <v>84</v>
      </c>
      <c r="J13" s="92"/>
      <c r="K13" s="4" t="s">
        <v>21</v>
      </c>
    </row>
    <row r="14" spans="1:12" x14ac:dyDescent="0.25">
      <c r="A14" s="92"/>
      <c r="B14" s="92"/>
      <c r="C14" s="92"/>
      <c r="D14" s="92"/>
      <c r="E14" s="92"/>
      <c r="F14" s="92"/>
      <c r="G14" s="4" t="s">
        <v>82</v>
      </c>
      <c r="H14" s="4" t="s">
        <v>81</v>
      </c>
      <c r="I14" s="4" t="s">
        <v>82</v>
      </c>
      <c r="J14" s="4" t="s">
        <v>81</v>
      </c>
      <c r="K14" s="4" t="s">
        <v>22</v>
      </c>
    </row>
    <row r="15" spans="1:12" ht="13.5" customHeight="1" x14ac:dyDescent="0.25">
      <c r="A15" s="6"/>
      <c r="B15" s="99"/>
      <c r="C15" s="100"/>
      <c r="D15" s="100"/>
      <c r="E15" s="7"/>
      <c r="F15" s="8"/>
      <c r="G15" s="13"/>
      <c r="H15" s="13"/>
      <c r="I15" s="13"/>
      <c r="J15" s="13"/>
      <c r="K15" s="43"/>
    </row>
    <row r="16" spans="1:12" ht="13.5" customHeight="1" x14ac:dyDescent="0.25">
      <c r="A16" s="9" t="s">
        <v>5</v>
      </c>
      <c r="B16" s="10" t="s">
        <v>4</v>
      </c>
      <c r="C16" s="11"/>
      <c r="D16" s="11"/>
      <c r="E16" s="12"/>
      <c r="F16" s="13"/>
      <c r="G16" s="13"/>
      <c r="H16" s="13"/>
      <c r="I16" s="13"/>
      <c r="J16" s="13"/>
      <c r="K16" s="51"/>
    </row>
    <row r="17" spans="1:14" ht="13.5" customHeight="1" x14ac:dyDescent="0.25">
      <c r="A17" s="12" t="s">
        <v>45</v>
      </c>
      <c r="B17" s="66" t="s">
        <v>79</v>
      </c>
      <c r="C17" s="11"/>
      <c r="D17" s="11"/>
      <c r="E17" s="79" t="s">
        <v>0</v>
      </c>
      <c r="F17" s="13">
        <f>G11</f>
        <v>2105.1</v>
      </c>
      <c r="G17" s="13">
        <f>'ORC GLOBAL'!I18</f>
        <v>0.13999999999999999</v>
      </c>
      <c r="H17" s="13">
        <f>'ORC GLOBAL'!J18</f>
        <v>0.55999999999999994</v>
      </c>
      <c r="I17" s="13">
        <f>TRUNC(F17*G17,2)</f>
        <v>294.70999999999998</v>
      </c>
      <c r="J17" s="13">
        <f>TRUNC(F17*H17,2)</f>
        <v>1178.8499999999999</v>
      </c>
      <c r="K17" s="52">
        <f>TRUNC(I17+J17,2)</f>
        <v>1473.56</v>
      </c>
      <c r="L17" s="78"/>
      <c r="M17" s="80"/>
    </row>
    <row r="18" spans="1:14" ht="13.5" customHeight="1" x14ac:dyDescent="0.25">
      <c r="A18" s="12" t="s">
        <v>46</v>
      </c>
      <c r="B18" s="14" t="s">
        <v>30</v>
      </c>
      <c r="C18" s="15"/>
      <c r="D18" s="15"/>
      <c r="E18" s="12" t="s">
        <v>0</v>
      </c>
      <c r="F18" s="13">
        <f>F17</f>
        <v>2105.1</v>
      </c>
      <c r="G18" s="13">
        <f>'ORC GLOBAL'!I21</f>
        <v>1.08</v>
      </c>
      <c r="H18" s="13">
        <f>'ORC GLOBAL'!J21</f>
        <v>0.27</v>
      </c>
      <c r="I18" s="13">
        <f>TRUNC(F18*G18,2)</f>
        <v>2273.5</v>
      </c>
      <c r="J18" s="13">
        <f>TRUNC(F18*H18,2)</f>
        <v>568.37</v>
      </c>
      <c r="K18" s="52">
        <f t="shared" ref="K18:K38" si="0">TRUNC(I18+J18,2)</f>
        <v>2841.87</v>
      </c>
      <c r="L18" s="78"/>
      <c r="M18" s="80"/>
    </row>
    <row r="19" spans="1:14" ht="13.5" customHeight="1" x14ac:dyDescent="0.25">
      <c r="A19" s="12" t="s">
        <v>47</v>
      </c>
      <c r="B19" s="93" t="s">
        <v>71</v>
      </c>
      <c r="C19" s="94"/>
      <c r="D19" s="94"/>
      <c r="E19" s="12" t="s">
        <v>64</v>
      </c>
      <c r="F19" s="13">
        <f>F18*0.04</f>
        <v>84.203999999999994</v>
      </c>
      <c r="G19" s="13">
        <f>'ORC GLOBAL'!I22</f>
        <v>480</v>
      </c>
      <c r="H19" s="13">
        <f>'ORC GLOBAL'!J22</f>
        <v>120</v>
      </c>
      <c r="I19" s="13">
        <f>TRUNC(F19*G19,2)</f>
        <v>40417.919999999998</v>
      </c>
      <c r="J19" s="13">
        <f>TRUNC(F19*H19,2)</f>
        <v>10104.48</v>
      </c>
      <c r="K19" s="52">
        <f t="shared" si="0"/>
        <v>50522.400000000001</v>
      </c>
      <c r="L19" s="78"/>
      <c r="M19" s="80"/>
    </row>
    <row r="20" spans="1:14" ht="13.5" customHeight="1" x14ac:dyDescent="0.25">
      <c r="A20" s="12" t="s">
        <v>48</v>
      </c>
      <c r="B20" s="14" t="s">
        <v>30</v>
      </c>
      <c r="C20" s="15"/>
      <c r="D20" s="15"/>
      <c r="E20" s="12" t="s">
        <v>0</v>
      </c>
      <c r="F20" s="13">
        <f>F18</f>
        <v>2105.1</v>
      </c>
      <c r="G20" s="13">
        <f>'ORC GLOBAL'!I23</f>
        <v>1.08</v>
      </c>
      <c r="H20" s="13">
        <f>'ORC GLOBAL'!J23</f>
        <v>0.27</v>
      </c>
      <c r="I20" s="13">
        <f>TRUNC(F20*G20,2)</f>
        <v>2273.5</v>
      </c>
      <c r="J20" s="13">
        <f>TRUNC(F20*H20,2)</f>
        <v>568.37</v>
      </c>
      <c r="K20" s="52">
        <f t="shared" si="0"/>
        <v>2841.87</v>
      </c>
      <c r="L20" s="78"/>
      <c r="M20" s="80"/>
    </row>
    <row r="21" spans="1:14" ht="13.5" customHeight="1" x14ac:dyDescent="0.25">
      <c r="A21" s="12" t="s">
        <v>49</v>
      </c>
      <c r="B21" s="93" t="s">
        <v>72</v>
      </c>
      <c r="C21" s="94"/>
      <c r="D21" s="94"/>
      <c r="E21" s="12" t="s">
        <v>64</v>
      </c>
      <c r="F21" s="13">
        <f>F20*0.04</f>
        <v>84.203999999999994</v>
      </c>
      <c r="G21" s="13">
        <f>'ORC GLOBAL'!I24</f>
        <v>480</v>
      </c>
      <c r="H21" s="13">
        <f>'ORC GLOBAL'!J24</f>
        <v>120</v>
      </c>
      <c r="I21" s="13">
        <f>TRUNC(F21*G21,2)</f>
        <v>40417.919999999998</v>
      </c>
      <c r="J21" s="13">
        <f>TRUNC(F21*H21,2)</f>
        <v>10104.48</v>
      </c>
      <c r="K21" s="52">
        <f t="shared" si="0"/>
        <v>50522.400000000001</v>
      </c>
      <c r="L21" s="78"/>
      <c r="M21" s="80"/>
    </row>
    <row r="22" spans="1:14" ht="13.5" customHeight="1" x14ac:dyDescent="0.25">
      <c r="A22" s="12"/>
      <c r="B22" s="95" t="s">
        <v>66</v>
      </c>
      <c r="C22" s="96"/>
      <c r="D22" s="96"/>
      <c r="E22" s="61"/>
      <c r="F22" s="13"/>
      <c r="G22" s="13">
        <f>'ORC GLOBAL'!I25</f>
        <v>0</v>
      </c>
      <c r="H22" s="13">
        <f>'ORC GLOBAL'!J25</f>
        <v>0</v>
      </c>
      <c r="I22" s="84">
        <f>SUM(I17:I21)</f>
        <v>85677.549999999988</v>
      </c>
      <c r="J22" s="84">
        <f>SUM(J17:J21)</f>
        <v>22524.55</v>
      </c>
      <c r="K22" s="84">
        <f>SUM(K17:K21)</f>
        <v>108202.1</v>
      </c>
      <c r="L22" s="78"/>
      <c r="M22" s="80"/>
    </row>
    <row r="23" spans="1:14" ht="13.5" customHeight="1" x14ac:dyDescent="0.25">
      <c r="A23" s="12"/>
      <c r="B23" s="58"/>
      <c r="C23" s="59"/>
      <c r="D23" s="59"/>
      <c r="E23" s="61"/>
      <c r="F23" s="13"/>
      <c r="G23" s="13">
        <f>'ORC GLOBAL'!I26</f>
        <v>0</v>
      </c>
      <c r="H23" s="13">
        <f>'ORC GLOBAL'!J26</f>
        <v>0</v>
      </c>
      <c r="I23" s="13"/>
      <c r="J23" s="13"/>
      <c r="K23" s="52"/>
      <c r="L23" s="78"/>
      <c r="M23" s="80"/>
    </row>
    <row r="24" spans="1:14" ht="13.5" customHeight="1" x14ac:dyDescent="0.25">
      <c r="A24" s="9" t="s">
        <v>51</v>
      </c>
      <c r="B24" s="101" t="s">
        <v>33</v>
      </c>
      <c r="C24" s="102"/>
      <c r="D24" s="102"/>
      <c r="E24" s="61"/>
      <c r="F24" s="13"/>
      <c r="G24" s="13">
        <f>'ORC GLOBAL'!I27</f>
        <v>0</v>
      </c>
      <c r="H24" s="13">
        <f>'ORC GLOBAL'!J27</f>
        <v>0</v>
      </c>
      <c r="I24" s="13"/>
      <c r="J24" s="13"/>
      <c r="K24" s="52"/>
      <c r="L24" s="78"/>
      <c r="M24" s="80"/>
    </row>
    <row r="25" spans="1:14" ht="13.5" customHeight="1" x14ac:dyDescent="0.25">
      <c r="A25" s="12" t="s">
        <v>52</v>
      </c>
      <c r="B25" s="93" t="s">
        <v>32</v>
      </c>
      <c r="C25" s="94"/>
      <c r="D25" s="94"/>
      <c r="E25" s="61" t="s">
        <v>64</v>
      </c>
      <c r="F25" s="13">
        <f>(F27+F28)*1.5*0.6</f>
        <v>103.5</v>
      </c>
      <c r="G25" s="13">
        <f>'ORC GLOBAL'!I28</f>
        <v>9.6839999999999993</v>
      </c>
      <c r="H25" s="13">
        <f>'ORC GLOBAL'!J28</f>
        <v>6.4560000000000013</v>
      </c>
      <c r="I25" s="13">
        <f>TRUNC(F25*G25,2)</f>
        <v>1002.29</v>
      </c>
      <c r="J25" s="13">
        <f>TRUNC(F25*H25,2)</f>
        <v>668.19</v>
      </c>
      <c r="K25" s="52">
        <f t="shared" si="0"/>
        <v>1670.48</v>
      </c>
      <c r="L25" s="78"/>
      <c r="M25" s="80"/>
    </row>
    <row r="26" spans="1:14" ht="13.5" customHeight="1" x14ac:dyDescent="0.25">
      <c r="A26" s="12" t="s">
        <v>76</v>
      </c>
      <c r="B26" s="93" t="s">
        <v>35</v>
      </c>
      <c r="C26" s="94"/>
      <c r="D26" s="94"/>
      <c r="E26" s="62" t="s">
        <v>64</v>
      </c>
      <c r="F26" s="13">
        <f>(F25*1.3)-((F27+F28)*0.4*0.4)</f>
        <v>116.15</v>
      </c>
      <c r="G26" s="13">
        <f>'ORC GLOBAL'!I30</f>
        <v>3.7439999999999998</v>
      </c>
      <c r="H26" s="13">
        <f>'ORC GLOBAL'!J30</f>
        <v>0.93599999999999994</v>
      </c>
      <c r="I26" s="13">
        <f>TRUNC(F26*G26,2)</f>
        <v>434.86</v>
      </c>
      <c r="J26" s="13">
        <f>TRUNC(F26*H26,2)</f>
        <v>108.71</v>
      </c>
      <c r="K26" s="52">
        <f t="shared" si="0"/>
        <v>543.57000000000005</v>
      </c>
      <c r="L26" s="78"/>
      <c r="M26" s="80"/>
    </row>
    <row r="27" spans="1:14" ht="13.5" customHeight="1" x14ac:dyDescent="0.25">
      <c r="A27" s="12" t="s">
        <v>53</v>
      </c>
      <c r="B27" s="63" t="s">
        <v>34</v>
      </c>
      <c r="C27" s="64"/>
      <c r="D27" s="64"/>
      <c r="E27" s="60" t="s">
        <v>23</v>
      </c>
      <c r="F27" s="13">
        <v>26</v>
      </c>
      <c r="G27" s="13">
        <f>'ORC GLOBAL'!I31</f>
        <v>36.4</v>
      </c>
      <c r="H27" s="13">
        <f>'ORC GLOBAL'!J31</f>
        <v>9.1000000000000014</v>
      </c>
      <c r="I27" s="13">
        <f>TRUNC(F27*G27,2)</f>
        <v>946.4</v>
      </c>
      <c r="J27" s="13">
        <f>TRUNC(F27*H27,2)</f>
        <v>236.6</v>
      </c>
      <c r="K27" s="52">
        <f t="shared" si="0"/>
        <v>1183</v>
      </c>
      <c r="L27" s="78"/>
      <c r="M27" s="80"/>
    </row>
    <row r="28" spans="1:14" ht="13.5" customHeight="1" x14ac:dyDescent="0.25">
      <c r="A28" s="12" t="s">
        <v>77</v>
      </c>
      <c r="B28" s="63" t="s">
        <v>37</v>
      </c>
      <c r="C28" s="64"/>
      <c r="D28" s="64"/>
      <c r="E28" s="60" t="s">
        <v>23</v>
      </c>
      <c r="F28" s="13">
        <v>89</v>
      </c>
      <c r="G28" s="13">
        <f>'ORC GLOBAL'!I32</f>
        <v>44.800000000000004</v>
      </c>
      <c r="H28" s="13">
        <f>'ORC GLOBAL'!J32</f>
        <v>11.199999999999996</v>
      </c>
      <c r="I28" s="13">
        <f>TRUNC(F28*G28,2)</f>
        <v>3987.2</v>
      </c>
      <c r="J28" s="13">
        <f>TRUNC(F28*H28,2)</f>
        <v>996.8</v>
      </c>
      <c r="K28" s="52">
        <f t="shared" si="0"/>
        <v>4984</v>
      </c>
      <c r="L28" s="78"/>
      <c r="M28" s="80"/>
    </row>
    <row r="29" spans="1:14" ht="13.5" customHeight="1" x14ac:dyDescent="0.25">
      <c r="A29" s="12" t="s">
        <v>54</v>
      </c>
      <c r="B29" s="66" t="s">
        <v>36</v>
      </c>
      <c r="C29" s="64"/>
      <c r="D29" s="64"/>
      <c r="E29" s="12" t="s">
        <v>65</v>
      </c>
      <c r="F29" s="13">
        <v>5</v>
      </c>
      <c r="G29" s="13">
        <f>'ORC GLOBAL'!I34</f>
        <v>552.03200000000004</v>
      </c>
      <c r="H29" s="13">
        <f>'ORC GLOBAL'!J34</f>
        <v>138.00799999999992</v>
      </c>
      <c r="I29" s="13">
        <f>TRUNC(F29*G29,2)</f>
        <v>2760.16</v>
      </c>
      <c r="J29" s="13">
        <f>TRUNC(F29*H29,2)</f>
        <v>690.04</v>
      </c>
      <c r="K29" s="52">
        <f t="shared" si="0"/>
        <v>3450.2</v>
      </c>
      <c r="L29" s="78"/>
      <c r="M29" s="80"/>
      <c r="N29" s="78"/>
    </row>
    <row r="30" spans="1:14" ht="13.5" customHeight="1" x14ac:dyDescent="0.25">
      <c r="A30" s="12"/>
      <c r="B30" s="95" t="s">
        <v>67</v>
      </c>
      <c r="C30" s="96"/>
      <c r="D30" s="96"/>
      <c r="E30" s="12"/>
      <c r="F30" s="13"/>
      <c r="G30" s="13">
        <f>'ORC GLOBAL'!I36</f>
        <v>0</v>
      </c>
      <c r="H30" s="13">
        <f>'ORC GLOBAL'!J36</f>
        <v>0</v>
      </c>
      <c r="I30" s="84">
        <f>SUM(I25:I29)</f>
        <v>9130.91</v>
      </c>
      <c r="J30" s="84">
        <f>SUM(J25:J29)</f>
        <v>2700.34</v>
      </c>
      <c r="K30" s="84">
        <f>SUM(K25:K29)</f>
        <v>11831.25</v>
      </c>
      <c r="L30" s="78"/>
      <c r="M30" s="80"/>
    </row>
    <row r="31" spans="1:14" ht="13.5" customHeight="1" x14ac:dyDescent="0.25">
      <c r="A31" s="12"/>
      <c r="B31" s="66"/>
      <c r="C31" s="17"/>
      <c r="D31" s="17"/>
      <c r="E31" s="12"/>
      <c r="F31" s="13"/>
      <c r="G31" s="13">
        <f>'ORC GLOBAL'!I37</f>
        <v>0</v>
      </c>
      <c r="H31" s="13">
        <f>'ORC GLOBAL'!J37</f>
        <v>0</v>
      </c>
      <c r="I31" s="13"/>
      <c r="J31" s="13"/>
      <c r="K31" s="52"/>
      <c r="L31" s="78"/>
      <c r="M31" s="80"/>
    </row>
    <row r="32" spans="1:14" ht="13.5" customHeight="1" x14ac:dyDescent="0.25">
      <c r="A32" s="9" t="s">
        <v>58</v>
      </c>
      <c r="B32" s="10" t="s">
        <v>39</v>
      </c>
      <c r="C32" s="17"/>
      <c r="D32" s="17"/>
      <c r="E32" s="12"/>
      <c r="F32" s="13"/>
      <c r="G32" s="13">
        <f>'ORC GLOBAL'!I38</f>
        <v>0</v>
      </c>
      <c r="H32" s="13">
        <f>'ORC GLOBAL'!J38</f>
        <v>0</v>
      </c>
      <c r="I32" s="13"/>
      <c r="J32" s="13"/>
      <c r="K32" s="52"/>
      <c r="L32" s="78"/>
      <c r="M32" s="80"/>
    </row>
    <row r="33" spans="1:17" ht="13.5" customHeight="1" x14ac:dyDescent="0.25">
      <c r="A33" s="12" t="s">
        <v>59</v>
      </c>
      <c r="B33" s="66" t="s">
        <v>40</v>
      </c>
      <c r="C33" s="17"/>
      <c r="D33" s="17"/>
      <c r="E33" s="12" t="s">
        <v>0</v>
      </c>
      <c r="F33" s="13">
        <f>(136*0.1*2)</f>
        <v>27.200000000000003</v>
      </c>
      <c r="G33" s="13">
        <f>'ORC GLOBAL'!I39</f>
        <v>13.984000000000002</v>
      </c>
      <c r="H33" s="13">
        <f>'ORC GLOBAL'!J39</f>
        <v>3.4959999999999987</v>
      </c>
      <c r="I33" s="13">
        <f t="shared" ref="I33:I39" si="1">TRUNC(F33*G33,2)</f>
        <v>380.36</v>
      </c>
      <c r="J33" s="13">
        <f t="shared" ref="J33:J39" si="2">TRUNC(F33*H33,2)</f>
        <v>95.09</v>
      </c>
      <c r="K33" s="52">
        <f t="shared" si="0"/>
        <v>475.45</v>
      </c>
      <c r="L33" s="78"/>
      <c r="M33" s="80"/>
    </row>
    <row r="34" spans="1:17" ht="13.5" customHeight="1" x14ac:dyDescent="0.25">
      <c r="A34" s="12" t="s">
        <v>60</v>
      </c>
      <c r="B34" s="66" t="s">
        <v>41</v>
      </c>
      <c r="C34" s="17"/>
      <c r="D34" s="17"/>
      <c r="E34" s="12" t="s">
        <v>0</v>
      </c>
      <c r="F34" s="13">
        <f>136*0.2</f>
        <v>27.200000000000003</v>
      </c>
      <c r="G34" s="13">
        <f>'ORC GLOBAL'!I40</f>
        <v>13.984000000000002</v>
      </c>
      <c r="H34" s="13">
        <f>'ORC GLOBAL'!J40</f>
        <v>3.4959999999999987</v>
      </c>
      <c r="I34" s="13">
        <f t="shared" si="1"/>
        <v>380.36</v>
      </c>
      <c r="J34" s="13">
        <f t="shared" si="2"/>
        <v>95.09</v>
      </c>
      <c r="K34" s="52">
        <f t="shared" si="0"/>
        <v>475.45</v>
      </c>
      <c r="L34" s="13"/>
      <c r="M34" s="52"/>
      <c r="N34" s="78"/>
      <c r="O34" s="80"/>
    </row>
    <row r="35" spans="1:17" ht="13.5" customHeight="1" x14ac:dyDescent="0.25">
      <c r="A35" s="12" t="s">
        <v>61</v>
      </c>
      <c r="B35" s="66" t="s">
        <v>42</v>
      </c>
      <c r="C35" s="17"/>
      <c r="D35" s="17"/>
      <c r="E35" s="12" t="s">
        <v>0</v>
      </c>
      <c r="F35" s="13">
        <f>(2.5*15/2*2)</f>
        <v>37.5</v>
      </c>
      <c r="G35" s="13">
        <f>'ORC GLOBAL'!I40</f>
        <v>13.984000000000002</v>
      </c>
      <c r="H35" s="13">
        <f>'ORC GLOBAL'!J41</f>
        <v>3.4959999999999987</v>
      </c>
      <c r="I35" s="13">
        <f t="shared" si="1"/>
        <v>524.4</v>
      </c>
      <c r="J35" s="13">
        <f t="shared" si="2"/>
        <v>131.1</v>
      </c>
      <c r="K35" s="52">
        <f t="shared" si="0"/>
        <v>655.5</v>
      </c>
      <c r="L35" s="78"/>
      <c r="M35" s="80"/>
    </row>
    <row r="36" spans="1:17" ht="13.5" customHeight="1" x14ac:dyDescent="0.25">
      <c r="A36" s="12" t="s">
        <v>62</v>
      </c>
      <c r="B36" s="66" t="s">
        <v>95</v>
      </c>
      <c r="C36" s="17"/>
      <c r="D36" s="17"/>
      <c r="E36" s="12" t="s">
        <v>65</v>
      </c>
      <c r="F36" s="13">
        <v>1</v>
      </c>
      <c r="G36" s="13">
        <f>'ORC GLOBAL'!I42</f>
        <v>154.80000000000001</v>
      </c>
      <c r="H36" s="13">
        <f>'ORC GLOBAL'!J42</f>
        <v>38.699999999999989</v>
      </c>
      <c r="I36" s="13">
        <f t="shared" si="1"/>
        <v>154.80000000000001</v>
      </c>
      <c r="J36" s="13">
        <f t="shared" si="2"/>
        <v>38.700000000000003</v>
      </c>
      <c r="K36" s="52">
        <f t="shared" si="0"/>
        <v>193.5</v>
      </c>
      <c r="L36" s="78"/>
      <c r="M36" s="80"/>
    </row>
    <row r="37" spans="1:17" ht="13.5" customHeight="1" x14ac:dyDescent="0.25">
      <c r="A37" s="12" t="s">
        <v>63</v>
      </c>
      <c r="B37" s="66" t="s">
        <v>96</v>
      </c>
      <c r="C37" s="17"/>
      <c r="D37" s="17"/>
      <c r="E37" s="12" t="s">
        <v>65</v>
      </c>
      <c r="F37" s="13">
        <v>2</v>
      </c>
      <c r="G37" s="13">
        <f>'ORC GLOBAL'!I43</f>
        <v>154.80000000000001</v>
      </c>
      <c r="H37" s="13">
        <f>'ORC GLOBAL'!J43</f>
        <v>38.699999999999989</v>
      </c>
      <c r="I37" s="13">
        <f t="shared" si="1"/>
        <v>309.60000000000002</v>
      </c>
      <c r="J37" s="13">
        <f t="shared" si="2"/>
        <v>77.400000000000006</v>
      </c>
      <c r="K37" s="52">
        <f t="shared" si="0"/>
        <v>387</v>
      </c>
      <c r="L37" s="78"/>
      <c r="M37" s="80"/>
    </row>
    <row r="38" spans="1:17" ht="13.5" customHeight="1" x14ac:dyDescent="0.25">
      <c r="A38" s="12" t="s">
        <v>69</v>
      </c>
      <c r="B38" s="66" t="s">
        <v>44</v>
      </c>
      <c r="C38" s="17"/>
      <c r="D38" s="17"/>
      <c r="E38" s="12" t="s">
        <v>0</v>
      </c>
      <c r="F38" s="13">
        <v>3</v>
      </c>
      <c r="G38" s="13">
        <f>'ORC GLOBAL'!I44</f>
        <v>390.048</v>
      </c>
      <c r="H38" s="13">
        <f>'ORC GLOBAL'!J44</f>
        <v>97.512</v>
      </c>
      <c r="I38" s="13">
        <f t="shared" si="1"/>
        <v>1170.1400000000001</v>
      </c>
      <c r="J38" s="13">
        <f t="shared" si="2"/>
        <v>292.52999999999997</v>
      </c>
      <c r="K38" s="52">
        <f t="shared" si="0"/>
        <v>1462.67</v>
      </c>
      <c r="L38" s="78"/>
      <c r="M38" s="80"/>
    </row>
    <row r="39" spans="1:17" ht="13.5" customHeight="1" x14ac:dyDescent="0.25">
      <c r="A39" s="12" t="s">
        <v>85</v>
      </c>
      <c r="B39" s="66" t="s">
        <v>86</v>
      </c>
      <c r="C39" s="17"/>
      <c r="D39" s="17"/>
      <c r="E39" s="12" t="s">
        <v>65</v>
      </c>
      <c r="F39" s="13">
        <v>4</v>
      </c>
      <c r="G39" s="13">
        <f>'ORC GLOBAL'!I45</f>
        <v>130.66199999999998</v>
      </c>
      <c r="H39" s="13">
        <f>'ORC GLOBAL'!J45</f>
        <v>55.998000000000019</v>
      </c>
      <c r="I39" s="13">
        <f t="shared" si="1"/>
        <v>522.64</v>
      </c>
      <c r="J39" s="13">
        <f t="shared" si="2"/>
        <v>223.99</v>
      </c>
      <c r="K39" s="52">
        <f>TRUNC(I39+J39,2)</f>
        <v>746.63</v>
      </c>
      <c r="L39" s="78"/>
      <c r="M39" s="80"/>
    </row>
    <row r="40" spans="1:17" ht="13.5" customHeight="1" x14ac:dyDescent="0.25">
      <c r="A40" s="12"/>
      <c r="B40" s="95" t="s">
        <v>68</v>
      </c>
      <c r="C40" s="96"/>
      <c r="D40" s="96"/>
      <c r="E40" s="12"/>
      <c r="F40" s="13"/>
      <c r="G40" s="13"/>
      <c r="H40" s="13"/>
      <c r="I40" s="84">
        <f>SUM(I33:I38)</f>
        <v>2919.66</v>
      </c>
      <c r="J40" s="84">
        <f>SUM(J33:J38)</f>
        <v>729.91</v>
      </c>
      <c r="K40" s="84">
        <f>SUM(K33:K39)</f>
        <v>4396.2</v>
      </c>
      <c r="L40" s="78"/>
      <c r="M40" s="80"/>
    </row>
    <row r="41" spans="1:17" x14ac:dyDescent="0.25">
      <c r="A41" s="21"/>
      <c r="B41" s="67"/>
      <c r="C41" s="68"/>
      <c r="D41" s="68"/>
      <c r="E41" s="21"/>
      <c r="F41" s="22"/>
      <c r="G41" s="83"/>
      <c r="H41" s="83"/>
      <c r="I41" s="83"/>
      <c r="J41" s="83"/>
      <c r="K41" s="53"/>
      <c r="L41" s="78"/>
      <c r="M41" s="80"/>
      <c r="N41" s="16"/>
      <c r="O41" s="16"/>
    </row>
    <row r="42" spans="1:17" ht="17.25" customHeight="1" x14ac:dyDescent="0.25">
      <c r="A42" s="97" t="s">
        <v>6</v>
      </c>
      <c r="B42" s="98"/>
      <c r="C42" s="98"/>
      <c r="D42" s="98"/>
      <c r="E42" s="98"/>
      <c r="F42" s="98"/>
      <c r="G42" s="82"/>
      <c r="H42" s="82"/>
      <c r="I42" s="85">
        <f>I40+I30+I22</f>
        <v>97728.12</v>
      </c>
      <c r="J42" s="85">
        <f>J40+J30+J22</f>
        <v>25954.799999999999</v>
      </c>
      <c r="K42" s="85">
        <f>K40+K30+K22</f>
        <v>124429.55</v>
      </c>
      <c r="L42" s="78"/>
      <c r="M42" s="80"/>
      <c r="N42" s="16"/>
      <c r="O42" s="16"/>
    </row>
    <row r="43" spans="1:17" s="20" customFormat="1" x14ac:dyDescent="0.25">
      <c r="A43" s="23"/>
      <c r="B43" s="23"/>
      <c r="C43" s="23"/>
      <c r="D43" s="24"/>
      <c r="E43" s="23"/>
      <c r="F43" s="23"/>
      <c r="G43" s="23"/>
      <c r="H43" s="23"/>
      <c r="I43" s="23"/>
      <c r="J43" s="23"/>
      <c r="K43" s="25"/>
      <c r="L43" s="25"/>
      <c r="M43" s="25"/>
      <c r="N43" s="19"/>
      <c r="O43" s="19"/>
    </row>
    <row r="44" spans="1:17" x14ac:dyDescent="0.25">
      <c r="A44" s="26"/>
      <c r="B44" s="27"/>
      <c r="C44" s="27"/>
      <c r="D44" s="27"/>
      <c r="E44" s="27"/>
      <c r="F44" s="28"/>
      <c r="G44" s="27"/>
      <c r="H44" s="27"/>
      <c r="I44" s="27"/>
      <c r="J44" s="27"/>
      <c r="K44" s="28"/>
      <c r="L44" s="28"/>
      <c r="M44" s="28"/>
      <c r="N44" s="16"/>
    </row>
    <row r="45" spans="1:17" s="20" customFormat="1" ht="12.75" customHeight="1" x14ac:dyDescent="0.3">
      <c r="A45" s="26"/>
      <c r="B45" s="23"/>
      <c r="C45" s="29"/>
      <c r="D45" s="24"/>
      <c r="E45" s="27"/>
      <c r="F45" s="28"/>
      <c r="G45" s="26"/>
      <c r="H45" s="26"/>
      <c r="I45" s="26"/>
      <c r="J45" s="26"/>
      <c r="K45" s="25"/>
      <c r="L45" s="28"/>
      <c r="M45" s="25"/>
      <c r="N45" s="19"/>
    </row>
    <row r="46" spans="1:17" x14ac:dyDescent="0.25">
      <c r="A46" s="26"/>
      <c r="B46" s="27"/>
      <c r="C46" s="27" t="s">
        <v>89</v>
      </c>
      <c r="D46" s="27"/>
      <c r="E46" s="27"/>
      <c r="F46" s="28"/>
      <c r="G46" s="23"/>
      <c r="H46" s="23"/>
      <c r="I46" s="26" t="s">
        <v>88</v>
      </c>
      <c r="J46" s="26"/>
      <c r="M46" s="28"/>
      <c r="N46" s="30"/>
      <c r="P46" s="18"/>
      <c r="Q46" s="16"/>
    </row>
    <row r="47" spans="1:17" x14ac:dyDescent="0.25">
      <c r="A47" s="27"/>
      <c r="B47" s="27"/>
      <c r="C47" s="27" t="s">
        <v>90</v>
      </c>
      <c r="D47" s="27"/>
      <c r="E47" s="27"/>
      <c r="F47" s="27"/>
      <c r="G47" s="26"/>
      <c r="H47" s="26"/>
      <c r="I47" s="27" t="s">
        <v>91</v>
      </c>
      <c r="J47" s="27"/>
      <c r="M47" s="28"/>
      <c r="N47" s="28"/>
      <c r="P47" s="16"/>
    </row>
    <row r="48" spans="1:17" x14ac:dyDescent="0.25">
      <c r="A48" s="26"/>
      <c r="B48" s="27"/>
      <c r="C48" s="27"/>
      <c r="D48" s="27"/>
      <c r="E48" s="27"/>
      <c r="F48" s="28"/>
      <c r="G48" s="24"/>
      <c r="H48" s="24"/>
      <c r="I48" s="24"/>
      <c r="J48" s="24"/>
      <c r="K48" s="28"/>
      <c r="L48" s="28"/>
      <c r="M48" s="30"/>
      <c r="O48" s="18"/>
      <c r="P48" s="16"/>
    </row>
    <row r="49" spans="1:16" x14ac:dyDescent="0.25">
      <c r="A49" s="26"/>
      <c r="B49" s="27"/>
      <c r="C49" s="27"/>
      <c r="D49" s="27"/>
      <c r="E49" s="27"/>
      <c r="F49" s="28"/>
      <c r="G49" s="23"/>
      <c r="H49" s="23"/>
      <c r="I49" s="23"/>
      <c r="J49" s="23"/>
      <c r="K49" s="28"/>
      <c r="L49" s="28"/>
      <c r="M49" s="30"/>
      <c r="O49" s="18"/>
      <c r="P49" s="16"/>
    </row>
    <row r="50" spans="1:16" x14ac:dyDescent="0.25">
      <c r="A50" s="27"/>
      <c r="B50" s="27"/>
      <c r="C50" s="27"/>
      <c r="D50" s="27"/>
      <c r="E50" s="27"/>
      <c r="F50" s="27"/>
      <c r="G50" s="26"/>
      <c r="H50" s="26"/>
      <c r="I50" s="26"/>
      <c r="J50" s="26"/>
      <c r="K50" s="28"/>
      <c r="L50" s="28"/>
      <c r="M50" s="28"/>
      <c r="O50" s="16"/>
    </row>
    <row r="51" spans="1:16" x14ac:dyDescent="0.25">
      <c r="A51" s="27"/>
      <c r="B51" s="27"/>
      <c r="C51" s="27"/>
      <c r="D51" s="27"/>
      <c r="E51" s="28"/>
      <c r="F51" s="26"/>
      <c r="G51" s="26"/>
      <c r="H51" s="26"/>
      <c r="I51" s="26"/>
      <c r="J51" s="26"/>
      <c r="K51" s="28"/>
      <c r="L51" s="28"/>
      <c r="M51" s="28"/>
      <c r="O51" s="16"/>
    </row>
    <row r="52" spans="1:16" x14ac:dyDescent="0.25">
      <c r="A52" s="27"/>
      <c r="B52" s="27"/>
      <c r="C52" s="27"/>
      <c r="D52" s="27"/>
      <c r="E52" s="28"/>
      <c r="F52" s="26"/>
      <c r="G52" s="26"/>
      <c r="H52" s="26"/>
      <c r="I52" s="26"/>
      <c r="J52" s="26"/>
      <c r="K52" s="28"/>
      <c r="L52" s="28"/>
      <c r="M52" s="28"/>
      <c r="O52" s="16"/>
    </row>
    <row r="53" spans="1:16" x14ac:dyDescent="0.25">
      <c r="A53" s="27"/>
      <c r="B53" s="27"/>
      <c r="C53" s="27"/>
      <c r="D53" s="27"/>
      <c r="E53" s="28"/>
      <c r="F53" s="26"/>
      <c r="G53" s="24"/>
      <c r="H53" s="24"/>
      <c r="I53" s="24"/>
      <c r="J53" s="24"/>
      <c r="K53" s="28"/>
      <c r="L53" s="28"/>
      <c r="M53" s="28"/>
    </row>
    <row r="54" spans="1:16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O54" s="16"/>
    </row>
    <row r="55" spans="1:16" x14ac:dyDescent="0.25">
      <c r="A55" s="27"/>
      <c r="B55" s="27"/>
      <c r="C55" s="27"/>
      <c r="D55" s="27"/>
      <c r="E55" s="27"/>
      <c r="F55" s="24"/>
      <c r="G55" s="24"/>
      <c r="H55" s="24"/>
      <c r="I55" s="24"/>
      <c r="J55" s="24"/>
      <c r="K55" s="27"/>
      <c r="L55" s="27"/>
      <c r="M55" s="27"/>
    </row>
    <row r="56" spans="1:16" x14ac:dyDescent="0.25">
      <c r="A56" s="27"/>
      <c r="B56" s="27"/>
      <c r="C56" s="27"/>
      <c r="D56" s="27"/>
      <c r="E56" s="27"/>
      <c r="F56" s="27"/>
      <c r="G56" s="26"/>
      <c r="H56" s="26"/>
      <c r="I56" s="26"/>
      <c r="J56" s="26"/>
      <c r="K56" s="26"/>
      <c r="L56" s="27"/>
      <c r="M56" s="27"/>
    </row>
    <row r="57" spans="1:16" x14ac:dyDescent="0.25">
      <c r="A57" s="27"/>
      <c r="B57" s="27"/>
      <c r="C57" s="27"/>
      <c r="D57" s="27"/>
      <c r="E57" s="27"/>
      <c r="F57" s="27"/>
      <c r="G57" s="26"/>
      <c r="H57" s="26"/>
      <c r="I57" s="26"/>
      <c r="J57" s="26"/>
      <c r="K57" s="27"/>
      <c r="L57" s="27"/>
      <c r="M57" s="27"/>
    </row>
    <row r="58" spans="1:16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</row>
    <row r="59" spans="1:16" x14ac:dyDescent="0.25">
      <c r="A59" s="27"/>
      <c r="B59" s="27"/>
      <c r="C59" s="27"/>
      <c r="D59" s="27"/>
      <c r="E59" s="27"/>
      <c r="F59" s="27"/>
      <c r="G59" s="26"/>
      <c r="H59" s="26"/>
      <c r="I59" s="26"/>
      <c r="J59" s="26"/>
      <c r="K59" s="27"/>
      <c r="L59" s="27"/>
      <c r="M59" s="27"/>
    </row>
    <row r="60" spans="1:16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</row>
    <row r="61" spans="1:16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</row>
    <row r="62" spans="1:16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</row>
    <row r="63" spans="1:16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6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</row>
    <row r="65" spans="1:13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</row>
    <row r="66" spans="1:13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</row>
    <row r="67" spans="1:13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</row>
    <row r="68" spans="1:13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</row>
    <row r="69" spans="1:13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</row>
    <row r="70" spans="1:13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</row>
    <row r="71" spans="1:13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spans="1:13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spans="1:13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</row>
    <row r="74" spans="1:13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</row>
    <row r="75" spans="1:13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</row>
    <row r="76" spans="1:13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spans="1:13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</row>
    <row r="78" spans="1:13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</row>
    <row r="79" spans="1:13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</row>
    <row r="80" spans="1:13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</row>
    <row r="81" spans="1:13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</row>
    <row r="82" spans="1:13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</row>
    <row r="83" spans="1:13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</row>
    <row r="84" spans="1:13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</row>
    <row r="85" spans="1:13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</row>
    <row r="86" spans="1:13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</row>
    <row r="87" spans="1:13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</row>
    <row r="88" spans="1: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</row>
    <row r="89" spans="1: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</row>
    <row r="90" spans="1:13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</row>
    <row r="91" spans="1: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</row>
    <row r="92" spans="1: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</row>
    <row r="93" spans="1: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</row>
    <row r="94" spans="1:13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</row>
    <row r="95" spans="1:13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</row>
    <row r="96" spans="1:13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</row>
    <row r="97" spans="1:13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</row>
    <row r="98" spans="1:13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</row>
    <row r="99" spans="1:13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</row>
    <row r="100" spans="1:13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</row>
    <row r="101" spans="1:13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</row>
    <row r="102" spans="1:13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</row>
    <row r="103" spans="1:13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</row>
    <row r="104" spans="1:13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</row>
    <row r="105" spans="1:13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</row>
    <row r="106" spans="1:13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</row>
    <row r="107" spans="1:13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</row>
    <row r="108" spans="1:13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</row>
    <row r="109" spans="1:13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</row>
    <row r="110" spans="1:13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</row>
    <row r="111" spans="1:13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</row>
    <row r="112" spans="1:13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</row>
    <row r="113" spans="1:13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</row>
    <row r="114" spans="1:13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</row>
    <row r="115" spans="1:13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</row>
    <row r="116" spans="1:13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</row>
    <row r="117" spans="1:13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</row>
    <row r="118" spans="1:13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</row>
    <row r="119" spans="1:13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</row>
    <row r="120" spans="1:13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</row>
    <row r="121" spans="1:13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</row>
    <row r="122" spans="1:13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</row>
    <row r="123" spans="1:13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</row>
    <row r="124" spans="1:13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</row>
    <row r="125" spans="1:13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</row>
    <row r="126" spans="1:13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</row>
    <row r="127" spans="1:13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</row>
    <row r="128" spans="1:13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</row>
    <row r="129" spans="1:13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</row>
  </sheetData>
  <mergeCells count="17">
    <mergeCell ref="B26:D26"/>
    <mergeCell ref="B30:D30"/>
    <mergeCell ref="B40:D40"/>
    <mergeCell ref="A42:F42"/>
    <mergeCell ref="B15:D15"/>
    <mergeCell ref="B19:D19"/>
    <mergeCell ref="B21:D21"/>
    <mergeCell ref="B22:D22"/>
    <mergeCell ref="B24:D24"/>
    <mergeCell ref="B25:D25"/>
    <mergeCell ref="A5:K5"/>
    <mergeCell ref="A13:A14"/>
    <mergeCell ref="B13:D14"/>
    <mergeCell ref="E13:E14"/>
    <mergeCell ref="F13:F14"/>
    <mergeCell ref="G13:H13"/>
    <mergeCell ref="I13:J13"/>
  </mergeCells>
  <pageMargins left="0.39370078740157483" right="0.39370078740157483" top="0.98425196850393704" bottom="0.78740157480314965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Normal="100" workbookViewId="0">
      <selection activeCell="M33" sqref="M33"/>
    </sheetView>
  </sheetViews>
  <sheetFormatPr defaultRowHeight="12.75" x14ac:dyDescent="0.25"/>
  <cols>
    <col min="1" max="4" width="9.140625" style="2"/>
    <col min="5" max="5" width="15" style="2" customWidth="1"/>
    <col min="6" max="6" width="8.7109375" style="2" customWidth="1"/>
    <col min="7" max="7" width="12.140625" style="2" customWidth="1"/>
    <col min="8" max="11" width="10.7109375" style="2" customWidth="1"/>
    <col min="12" max="12" width="9.28515625" style="2" customWidth="1"/>
    <col min="13" max="13" width="10.7109375" style="2" customWidth="1"/>
    <col min="14" max="16384" width="9.140625" style="2"/>
  </cols>
  <sheetData>
    <row r="1" spans="1:13" x14ac:dyDescent="0.25">
      <c r="A1" s="20" t="e">
        <f>#REF!</f>
        <v>#REF!</v>
      </c>
    </row>
    <row r="2" spans="1:13" x14ac:dyDescent="0.25">
      <c r="A2" s="20" t="e">
        <f>#REF!</f>
        <v>#REF!</v>
      </c>
    </row>
    <row r="3" spans="1:13" ht="12.75" customHeight="1" x14ac:dyDescent="0.25">
      <c r="A3" s="20"/>
      <c r="F3" s="108" t="s">
        <v>8</v>
      </c>
      <c r="G3" s="108"/>
      <c r="H3" s="108"/>
      <c r="I3" s="108"/>
      <c r="J3" s="108"/>
      <c r="K3" s="108"/>
    </row>
    <row r="4" spans="1:13" ht="12.75" customHeight="1" x14ac:dyDescent="0.25">
      <c r="A4" s="2" t="e">
        <f>#REF!</f>
        <v>#REF!</v>
      </c>
      <c r="F4" s="109" t="s">
        <v>9</v>
      </c>
      <c r="G4" s="109"/>
      <c r="H4" s="109"/>
      <c r="I4" s="109"/>
      <c r="J4" s="109"/>
      <c r="K4" s="109"/>
    </row>
    <row r="5" spans="1:13" ht="15" customHeight="1" x14ac:dyDescent="0.25">
      <c r="A5" s="2" t="e">
        <f>#REF!</f>
        <v>#REF!</v>
      </c>
      <c r="B5" s="65" t="e">
        <f>#REF!</f>
        <v>#REF!</v>
      </c>
      <c r="F5" s="23"/>
      <c r="G5" s="23"/>
      <c r="H5" s="23"/>
      <c r="I5" s="23"/>
      <c r="J5" s="23"/>
      <c r="K5" s="23"/>
      <c r="L5" s="23"/>
      <c r="M5" s="23"/>
    </row>
    <row r="6" spans="1:13" x14ac:dyDescent="0.25">
      <c r="A6" s="2" t="e">
        <f>#REF!</f>
        <v>#REF!</v>
      </c>
    </row>
    <row r="7" spans="1:13" s="27" customFormat="1" ht="12.75" customHeight="1" x14ac:dyDescent="0.2">
      <c r="A7" s="2" t="e">
        <f>#REF!</f>
        <v>#REF!</v>
      </c>
      <c r="B7" s="33"/>
      <c r="C7" s="34"/>
      <c r="D7" s="35"/>
      <c r="E7" s="32"/>
      <c r="F7" s="32"/>
      <c r="G7" s="32"/>
      <c r="H7" s="32"/>
      <c r="I7" s="32"/>
      <c r="J7" s="23"/>
      <c r="K7" s="36"/>
      <c r="L7" s="23"/>
      <c r="M7" s="36"/>
    </row>
    <row r="8" spans="1:13" s="27" customFormat="1" x14ac:dyDescent="0.25">
      <c r="B8" s="37"/>
    </row>
    <row r="9" spans="1:13" x14ac:dyDescent="0.25">
      <c r="A9" s="92" t="s">
        <v>3</v>
      </c>
      <c r="B9" s="92" t="s">
        <v>1</v>
      </c>
      <c r="C9" s="92"/>
      <c r="D9" s="92"/>
      <c r="E9" s="92"/>
      <c r="F9" s="104" t="s">
        <v>10</v>
      </c>
      <c r="G9" s="1" t="s">
        <v>11</v>
      </c>
      <c r="H9" s="111" t="s">
        <v>12</v>
      </c>
      <c r="I9" s="112"/>
      <c r="J9" s="112"/>
      <c r="K9" s="112"/>
      <c r="L9" s="112"/>
      <c r="M9" s="113"/>
    </row>
    <row r="10" spans="1:13" x14ac:dyDescent="0.25">
      <c r="A10" s="92"/>
      <c r="B10" s="92"/>
      <c r="C10" s="92"/>
      <c r="D10" s="92"/>
      <c r="E10" s="92"/>
      <c r="F10" s="110"/>
      <c r="G10" s="3" t="s">
        <v>13</v>
      </c>
      <c r="H10" s="92">
        <v>30</v>
      </c>
      <c r="I10" s="92"/>
      <c r="J10" s="92">
        <v>60</v>
      </c>
      <c r="K10" s="92"/>
      <c r="L10" s="92">
        <v>90</v>
      </c>
      <c r="M10" s="92"/>
    </row>
    <row r="11" spans="1:13" x14ac:dyDescent="0.25">
      <c r="A11" s="92"/>
      <c r="B11" s="92"/>
      <c r="C11" s="92"/>
      <c r="D11" s="92"/>
      <c r="E11" s="92"/>
      <c r="F11" s="38" t="s">
        <v>14</v>
      </c>
      <c r="G11" s="38" t="s">
        <v>15</v>
      </c>
      <c r="H11" s="4" t="s">
        <v>16</v>
      </c>
      <c r="I11" s="4" t="s">
        <v>17</v>
      </c>
      <c r="J11" s="4" t="s">
        <v>16</v>
      </c>
      <c r="K11" s="4" t="s">
        <v>17</v>
      </c>
      <c r="L11" s="4" t="s">
        <v>16</v>
      </c>
      <c r="M11" s="4" t="s">
        <v>17</v>
      </c>
    </row>
    <row r="12" spans="1:13" x14ac:dyDescent="0.25">
      <c r="A12" s="39"/>
      <c r="B12" s="40"/>
      <c r="C12" s="41"/>
      <c r="D12" s="41"/>
      <c r="E12" s="42"/>
      <c r="F12" s="72"/>
      <c r="G12" s="72"/>
      <c r="H12" s="72"/>
      <c r="I12" s="72"/>
      <c r="J12" s="72"/>
      <c r="K12" s="72"/>
      <c r="L12" s="72"/>
      <c r="M12" s="72"/>
    </row>
    <row r="13" spans="1:13" x14ac:dyDescent="0.25">
      <c r="A13" s="54" t="e">
        <f>#REF!</f>
        <v>#REF!</v>
      </c>
      <c r="B13" s="55" t="e">
        <f>#REF!</f>
        <v>#REF!</v>
      </c>
      <c r="C13" s="69"/>
      <c r="D13" s="69"/>
      <c r="E13" s="70"/>
      <c r="F13" s="72"/>
      <c r="G13" s="72"/>
      <c r="H13" s="72"/>
      <c r="I13" s="72"/>
      <c r="J13" s="72"/>
      <c r="K13" s="72"/>
      <c r="L13" s="72"/>
      <c r="M13" s="72"/>
    </row>
    <row r="14" spans="1:13" x14ac:dyDescent="0.25">
      <c r="A14" s="12" t="s">
        <v>45</v>
      </c>
      <c r="B14" s="66" t="s">
        <v>79</v>
      </c>
      <c r="C14" s="69"/>
      <c r="D14" s="69"/>
      <c r="E14" s="70"/>
      <c r="F14" s="73" t="e">
        <f>G14/$G$47%</f>
        <v>#REF!</v>
      </c>
      <c r="G14" s="74" t="e">
        <f>#REF!</f>
        <v>#REF!</v>
      </c>
      <c r="H14" s="73"/>
      <c r="I14" s="74"/>
      <c r="J14" s="72"/>
      <c r="K14" s="72"/>
      <c r="L14" s="72"/>
      <c r="M14" s="72"/>
    </row>
    <row r="15" spans="1:13" x14ac:dyDescent="0.25">
      <c r="A15" s="54" t="e">
        <f>#REF!</f>
        <v>#REF!</v>
      </c>
      <c r="B15" s="55" t="e">
        <f>#REF!</f>
        <v>#REF!</v>
      </c>
      <c r="C15" s="69"/>
      <c r="D15" s="69"/>
      <c r="E15" s="70"/>
      <c r="F15" s="73" t="e">
        <f>G15/$G$47%</f>
        <v>#REF!</v>
      </c>
      <c r="G15" s="74" t="e">
        <f>#REF!</f>
        <v>#REF!</v>
      </c>
      <c r="H15" s="73"/>
      <c r="I15" s="74"/>
      <c r="J15" s="72"/>
      <c r="K15" s="72"/>
      <c r="L15" s="72"/>
      <c r="M15" s="72"/>
    </row>
    <row r="16" spans="1:13" x14ac:dyDescent="0.25">
      <c r="A16" s="54" t="e">
        <f>#REF!</f>
        <v>#REF!</v>
      </c>
      <c r="B16" s="55" t="e">
        <f>#REF!</f>
        <v>#REF!</v>
      </c>
      <c r="C16" s="69"/>
      <c r="D16" s="69"/>
      <c r="E16" s="70"/>
      <c r="F16" s="73" t="e">
        <f t="shared" ref="F16:F45" si="0">G16/$G$47%</f>
        <v>#REF!</v>
      </c>
      <c r="G16" s="74" t="e">
        <f>#REF!</f>
        <v>#REF!</v>
      </c>
      <c r="H16" s="73"/>
      <c r="I16" s="74"/>
      <c r="J16" s="73"/>
      <c r="K16" s="73"/>
      <c r="L16" s="73"/>
      <c r="M16" s="73"/>
    </row>
    <row r="17" spans="1:13" x14ac:dyDescent="0.25">
      <c r="A17" s="54" t="e">
        <f>#REF!</f>
        <v>#REF!</v>
      </c>
      <c r="B17" s="55" t="e">
        <f>#REF!</f>
        <v>#REF!</v>
      </c>
      <c r="C17" s="69"/>
      <c r="D17" s="69"/>
      <c r="E17" s="70"/>
      <c r="F17" s="73" t="e">
        <f t="shared" si="0"/>
        <v>#REF!</v>
      </c>
      <c r="G17" s="74" t="e">
        <f>#REF!</f>
        <v>#REF!</v>
      </c>
      <c r="H17" s="73"/>
      <c r="I17" s="74"/>
      <c r="J17" s="73"/>
      <c r="K17" s="73"/>
      <c r="L17" s="73"/>
      <c r="M17" s="73"/>
    </row>
    <row r="18" spans="1:13" x14ac:dyDescent="0.25">
      <c r="A18" s="54" t="e">
        <f>#REF!</f>
        <v>#REF!</v>
      </c>
      <c r="B18" s="55" t="e">
        <f>#REF!</f>
        <v>#REF!</v>
      </c>
      <c r="C18" s="69"/>
      <c r="D18" s="69"/>
      <c r="E18" s="70"/>
      <c r="F18" s="73" t="e">
        <f t="shared" si="0"/>
        <v>#REF!</v>
      </c>
      <c r="G18" s="74" t="e">
        <f>#REF!</f>
        <v>#REF!</v>
      </c>
      <c r="H18" s="73"/>
      <c r="I18" s="74"/>
      <c r="J18" s="73"/>
      <c r="K18" s="73"/>
      <c r="L18" s="73"/>
      <c r="M18" s="73"/>
    </row>
    <row r="19" spans="1:13" x14ac:dyDescent="0.25">
      <c r="A19" s="54" t="e">
        <f>#REF!</f>
        <v>#REF!</v>
      </c>
      <c r="B19" s="55" t="e">
        <f>#REF!</f>
        <v>#REF!</v>
      </c>
      <c r="C19" s="69"/>
      <c r="D19" s="69"/>
      <c r="E19" s="70"/>
      <c r="F19" s="73" t="e">
        <f t="shared" si="0"/>
        <v>#REF!</v>
      </c>
      <c r="G19" s="74" t="e">
        <f>#REF!</f>
        <v>#REF!</v>
      </c>
      <c r="H19" s="72"/>
      <c r="I19" s="72"/>
      <c r="J19" s="73"/>
      <c r="K19" s="73"/>
      <c r="L19" s="73"/>
      <c r="M19" s="73"/>
    </row>
    <row r="20" spans="1:13" x14ac:dyDescent="0.25">
      <c r="A20" s="54" t="e">
        <f>#REF!</f>
        <v>#REF!</v>
      </c>
      <c r="B20" s="55" t="e">
        <f>#REF!</f>
        <v>#REF!</v>
      </c>
      <c r="C20" s="69"/>
      <c r="D20" s="69"/>
      <c r="E20" s="70"/>
      <c r="F20" s="73" t="e">
        <f t="shared" si="0"/>
        <v>#REF!</v>
      </c>
      <c r="G20" s="74" t="e">
        <f>#REF!</f>
        <v>#REF!</v>
      </c>
      <c r="H20" s="72"/>
      <c r="I20" s="72"/>
      <c r="J20" s="73"/>
      <c r="K20" s="73"/>
      <c r="L20" s="73"/>
      <c r="M20" s="73"/>
    </row>
    <row r="21" spans="1:13" x14ac:dyDescent="0.25">
      <c r="A21" s="54"/>
      <c r="B21" s="55"/>
      <c r="C21" s="69"/>
      <c r="D21" s="69"/>
      <c r="E21" s="70"/>
      <c r="F21" s="73"/>
      <c r="G21" s="74"/>
      <c r="H21" s="72"/>
      <c r="I21" s="72"/>
      <c r="J21" s="73"/>
      <c r="K21" s="73"/>
      <c r="L21" s="73"/>
      <c r="M21" s="73"/>
    </row>
    <row r="22" spans="1:13" x14ac:dyDescent="0.25">
      <c r="A22" s="54" t="e">
        <f>#REF!</f>
        <v>#REF!</v>
      </c>
      <c r="B22" s="55" t="e">
        <f>#REF!</f>
        <v>#REF!</v>
      </c>
      <c r="C22" s="69"/>
      <c r="D22" s="69"/>
      <c r="E22" s="70"/>
      <c r="F22" s="73"/>
      <c r="G22" s="74"/>
      <c r="H22" s="72"/>
      <c r="I22" s="72"/>
      <c r="J22" s="72"/>
      <c r="K22" s="72"/>
      <c r="L22" s="72"/>
      <c r="M22" s="72"/>
    </row>
    <row r="23" spans="1:13" x14ac:dyDescent="0.25">
      <c r="A23" s="54" t="e">
        <f>#REF!</f>
        <v>#REF!</v>
      </c>
      <c r="B23" s="55" t="e">
        <f>#REF!</f>
        <v>#REF!</v>
      </c>
      <c r="C23" s="69"/>
      <c r="D23" s="69"/>
      <c r="E23" s="70"/>
      <c r="F23" s="73" t="e">
        <f t="shared" si="0"/>
        <v>#REF!</v>
      </c>
      <c r="G23" s="74" t="e">
        <f>#REF!</f>
        <v>#REF!</v>
      </c>
      <c r="H23" s="73"/>
      <c r="I23" s="74"/>
      <c r="J23" s="72"/>
      <c r="K23" s="72"/>
      <c r="L23" s="72"/>
      <c r="M23" s="72"/>
    </row>
    <row r="24" spans="1:13" x14ac:dyDescent="0.25">
      <c r="A24" s="54" t="e">
        <f>#REF!</f>
        <v>#REF!</v>
      </c>
      <c r="B24" s="55" t="e">
        <f>#REF!</f>
        <v>#REF!</v>
      </c>
      <c r="C24" s="69"/>
      <c r="D24" s="69"/>
      <c r="E24" s="70"/>
      <c r="F24" s="73" t="e">
        <f t="shared" si="0"/>
        <v>#REF!</v>
      </c>
      <c r="G24" s="74" t="e">
        <f>#REF!</f>
        <v>#REF!</v>
      </c>
      <c r="H24" s="73"/>
      <c r="I24" s="74"/>
      <c r="J24" s="72"/>
      <c r="K24" s="72"/>
      <c r="L24" s="72"/>
      <c r="M24" s="72"/>
    </row>
    <row r="25" spans="1:13" x14ac:dyDescent="0.25">
      <c r="A25" s="54" t="e">
        <f>#REF!</f>
        <v>#REF!</v>
      </c>
      <c r="B25" s="55" t="e">
        <f>#REF!</f>
        <v>#REF!</v>
      </c>
      <c r="C25" s="69"/>
      <c r="D25" s="69"/>
      <c r="E25" s="70"/>
      <c r="F25" s="73" t="e">
        <f t="shared" si="0"/>
        <v>#REF!</v>
      </c>
      <c r="G25" s="74" t="e">
        <f>#REF!</f>
        <v>#REF!</v>
      </c>
      <c r="H25" s="73"/>
      <c r="I25" s="74"/>
      <c r="J25" s="72"/>
      <c r="K25" s="72"/>
      <c r="L25" s="72"/>
      <c r="M25" s="72"/>
    </row>
    <row r="26" spans="1:13" x14ac:dyDescent="0.25">
      <c r="A26" s="54" t="e">
        <f>#REF!</f>
        <v>#REF!</v>
      </c>
      <c r="B26" s="55" t="e">
        <f>#REF!</f>
        <v>#REF!</v>
      </c>
      <c r="C26" s="69"/>
      <c r="D26" s="69"/>
      <c r="E26" s="70"/>
      <c r="F26" s="73" t="e">
        <f t="shared" si="0"/>
        <v>#REF!</v>
      </c>
      <c r="G26" s="74" t="e">
        <f>#REF!</f>
        <v>#REF!</v>
      </c>
      <c r="H26" s="73"/>
      <c r="I26" s="74"/>
      <c r="J26" s="72"/>
      <c r="K26" s="72"/>
      <c r="L26" s="72"/>
      <c r="M26" s="72"/>
    </row>
    <row r="27" spans="1:13" x14ac:dyDescent="0.25">
      <c r="A27" s="54" t="e">
        <f>#REF!</f>
        <v>#REF!</v>
      </c>
      <c r="B27" s="55" t="e">
        <f>#REF!</f>
        <v>#REF!</v>
      </c>
      <c r="C27" s="69"/>
      <c r="D27" s="69"/>
      <c r="E27" s="70"/>
      <c r="F27" s="73" t="e">
        <f t="shared" si="0"/>
        <v>#REF!</v>
      </c>
      <c r="G27" s="74" t="e">
        <f>#REF!</f>
        <v>#REF!</v>
      </c>
      <c r="H27" s="73"/>
      <c r="I27" s="74"/>
      <c r="J27" s="72"/>
      <c r="K27" s="72"/>
      <c r="L27" s="72"/>
      <c r="M27" s="72"/>
    </row>
    <row r="28" spans="1:13" x14ac:dyDescent="0.25">
      <c r="A28" s="54" t="e">
        <f>#REF!</f>
        <v>#REF!</v>
      </c>
      <c r="B28" s="55" t="e">
        <f>#REF!</f>
        <v>#REF!</v>
      </c>
      <c r="C28" s="69"/>
      <c r="D28" s="69"/>
      <c r="E28" s="70"/>
      <c r="F28" s="73" t="e">
        <f t="shared" si="0"/>
        <v>#REF!</v>
      </c>
      <c r="G28" s="74" t="e">
        <f>#REF!</f>
        <v>#REF!</v>
      </c>
      <c r="H28" s="73"/>
      <c r="I28" s="74"/>
      <c r="J28" s="72"/>
      <c r="K28" s="72"/>
      <c r="L28" s="72"/>
      <c r="M28" s="72"/>
    </row>
    <row r="29" spans="1:13" x14ac:dyDescent="0.25">
      <c r="A29" s="54" t="e">
        <f>#REF!</f>
        <v>#REF!</v>
      </c>
      <c r="B29" s="55" t="e">
        <f>#REF!</f>
        <v>#REF!</v>
      </c>
      <c r="C29" s="69"/>
      <c r="D29" s="69"/>
      <c r="E29" s="70"/>
      <c r="F29" s="73" t="e">
        <f t="shared" si="0"/>
        <v>#REF!</v>
      </c>
      <c r="G29" s="74" t="e">
        <f>#REF!</f>
        <v>#REF!</v>
      </c>
      <c r="H29" s="73"/>
      <c r="I29" s="74"/>
      <c r="J29" s="72"/>
      <c r="K29" s="72"/>
      <c r="L29" s="72"/>
      <c r="M29" s="72"/>
    </row>
    <row r="30" spans="1:13" x14ac:dyDescent="0.25">
      <c r="A30" s="54" t="e">
        <f>#REF!</f>
        <v>#REF!</v>
      </c>
      <c r="B30" s="55" t="e">
        <f>#REF!</f>
        <v>#REF!</v>
      </c>
      <c r="C30" s="69"/>
      <c r="D30" s="69"/>
      <c r="E30" s="70"/>
      <c r="F30" s="73" t="e">
        <f t="shared" si="0"/>
        <v>#REF!</v>
      </c>
      <c r="G30" s="74" t="e">
        <f>#REF!</f>
        <v>#REF!</v>
      </c>
      <c r="H30" s="73"/>
      <c r="I30" s="74"/>
      <c r="J30" s="72"/>
      <c r="K30" s="72"/>
      <c r="L30" s="72"/>
      <c r="M30" s="72"/>
    </row>
    <row r="31" spans="1:13" x14ac:dyDescent="0.25">
      <c r="A31" s="54"/>
      <c r="B31" s="55"/>
      <c r="C31" s="69"/>
      <c r="D31" s="69"/>
      <c r="E31" s="70"/>
      <c r="F31" s="73"/>
      <c r="G31" s="74"/>
      <c r="H31" s="73"/>
      <c r="I31" s="74"/>
      <c r="J31" s="72"/>
      <c r="K31" s="72"/>
      <c r="L31" s="72"/>
      <c r="M31" s="72"/>
    </row>
    <row r="32" spans="1:13" x14ac:dyDescent="0.25">
      <c r="A32" s="54" t="e">
        <f>#REF!</f>
        <v>#REF!</v>
      </c>
      <c r="B32" s="55" t="e">
        <f>#REF!</f>
        <v>#REF!</v>
      </c>
      <c r="C32" s="69"/>
      <c r="D32" s="69"/>
      <c r="E32" s="70"/>
      <c r="F32" s="73"/>
      <c r="G32" s="74"/>
      <c r="H32" s="72"/>
      <c r="I32" s="72"/>
      <c r="J32" s="72"/>
      <c r="K32" s="72"/>
      <c r="L32" s="72"/>
      <c r="M32" s="72"/>
    </row>
    <row r="33" spans="1:13" x14ac:dyDescent="0.25">
      <c r="A33" s="54" t="e">
        <f>#REF!</f>
        <v>#REF!</v>
      </c>
      <c r="B33" s="55" t="e">
        <f>#REF!</f>
        <v>#REF!</v>
      </c>
      <c r="C33" s="69"/>
      <c r="D33" s="69"/>
      <c r="E33" s="70"/>
      <c r="F33" s="73" t="e">
        <f t="shared" si="0"/>
        <v>#REF!</v>
      </c>
      <c r="G33" s="74" t="e">
        <f>#REF!</f>
        <v>#REF!</v>
      </c>
      <c r="H33" s="72"/>
      <c r="I33" s="72"/>
      <c r="J33" s="73"/>
      <c r="K33" s="74"/>
      <c r="L33" s="72"/>
      <c r="M33" s="72"/>
    </row>
    <row r="34" spans="1:13" x14ac:dyDescent="0.25">
      <c r="A34" s="54" t="e">
        <f>#REF!</f>
        <v>#REF!</v>
      </c>
      <c r="B34" s="55" t="e">
        <f>#REF!</f>
        <v>#REF!</v>
      </c>
      <c r="C34" s="69"/>
      <c r="D34" s="69"/>
      <c r="E34" s="70"/>
      <c r="F34" s="73" t="e">
        <f t="shared" si="0"/>
        <v>#REF!</v>
      </c>
      <c r="G34" s="74" t="e">
        <f>#REF!</f>
        <v>#REF!</v>
      </c>
      <c r="H34" s="72"/>
      <c r="I34" s="72"/>
      <c r="J34" s="73"/>
      <c r="K34" s="74"/>
      <c r="L34" s="72"/>
      <c r="M34" s="72"/>
    </row>
    <row r="35" spans="1:13" x14ac:dyDescent="0.25">
      <c r="A35" s="54" t="e">
        <f>#REF!</f>
        <v>#REF!</v>
      </c>
      <c r="B35" s="55" t="e">
        <f>#REF!</f>
        <v>#REF!</v>
      </c>
      <c r="C35" s="69"/>
      <c r="D35" s="69"/>
      <c r="E35" s="70"/>
      <c r="F35" s="73" t="e">
        <f t="shared" si="0"/>
        <v>#REF!</v>
      </c>
      <c r="G35" s="74" t="e">
        <f>#REF!</f>
        <v>#REF!</v>
      </c>
      <c r="H35" s="72"/>
      <c r="I35" s="72"/>
      <c r="J35" s="73"/>
      <c r="K35" s="74"/>
      <c r="L35" s="73"/>
      <c r="M35" s="74"/>
    </row>
    <row r="36" spans="1:13" x14ac:dyDescent="0.25">
      <c r="A36" s="54" t="e">
        <f>#REF!</f>
        <v>#REF!</v>
      </c>
      <c r="B36" s="55" t="e">
        <f>#REF!</f>
        <v>#REF!</v>
      </c>
      <c r="C36" s="56"/>
      <c r="D36" s="56"/>
      <c r="E36" s="57"/>
      <c r="F36" s="73" t="e">
        <f t="shared" si="0"/>
        <v>#REF!</v>
      </c>
      <c r="G36" s="74" t="e">
        <f>#REF!</f>
        <v>#REF!</v>
      </c>
      <c r="H36" s="75"/>
      <c r="I36" s="75"/>
      <c r="J36" s="73"/>
      <c r="K36" s="74"/>
      <c r="L36" s="73"/>
      <c r="M36" s="74"/>
    </row>
    <row r="37" spans="1:13" x14ac:dyDescent="0.25">
      <c r="A37" s="54" t="e">
        <f>#REF!</f>
        <v>#REF!</v>
      </c>
      <c r="B37" s="55" t="e">
        <f>#REF!</f>
        <v>#REF!</v>
      </c>
      <c r="C37" s="56"/>
      <c r="D37" s="56"/>
      <c r="E37" s="57"/>
      <c r="F37" s="73" t="e">
        <f t="shared" si="0"/>
        <v>#REF!</v>
      </c>
      <c r="G37" s="74" t="e">
        <f>#REF!</f>
        <v>#REF!</v>
      </c>
      <c r="H37" s="75"/>
      <c r="I37" s="75"/>
      <c r="J37" s="73"/>
      <c r="K37" s="74"/>
      <c r="L37" s="73"/>
      <c r="M37" s="74"/>
    </row>
    <row r="38" spans="1:13" x14ac:dyDescent="0.25">
      <c r="A38" s="54" t="e">
        <f>#REF!</f>
        <v>#REF!</v>
      </c>
      <c r="B38" s="55" t="e">
        <f>#REF!</f>
        <v>#REF!</v>
      </c>
      <c r="C38" s="56"/>
      <c r="D38" s="56"/>
      <c r="E38" s="57"/>
      <c r="F38" s="73" t="e">
        <f t="shared" si="0"/>
        <v>#REF!</v>
      </c>
      <c r="G38" s="74" t="e">
        <f>#REF!</f>
        <v>#REF!</v>
      </c>
      <c r="H38" s="75"/>
      <c r="I38" s="75"/>
      <c r="J38" s="73"/>
      <c r="K38" s="74"/>
      <c r="L38" s="73"/>
      <c r="M38" s="74"/>
    </row>
    <row r="39" spans="1:13" x14ac:dyDescent="0.25">
      <c r="A39" s="54"/>
      <c r="B39" s="55"/>
      <c r="C39" s="56"/>
      <c r="D39" s="56"/>
      <c r="E39" s="57"/>
      <c r="F39" s="73"/>
      <c r="G39" s="74"/>
      <c r="H39" s="75"/>
      <c r="I39" s="75"/>
      <c r="J39" s="75"/>
      <c r="K39" s="75"/>
      <c r="L39" s="73"/>
      <c r="M39" s="74"/>
    </row>
    <row r="40" spans="1:13" x14ac:dyDescent="0.25">
      <c r="A40" s="54"/>
      <c r="B40" s="55"/>
      <c r="C40" s="56"/>
      <c r="D40" s="56"/>
      <c r="E40" s="57"/>
      <c r="F40" s="73"/>
      <c r="G40" s="74"/>
      <c r="H40" s="75"/>
      <c r="I40" s="75"/>
      <c r="J40" s="75"/>
      <c r="K40" s="75"/>
      <c r="L40" s="73"/>
      <c r="M40" s="74"/>
    </row>
    <row r="41" spans="1:13" x14ac:dyDescent="0.25">
      <c r="A41" s="54" t="e">
        <f>#REF!</f>
        <v>#REF!</v>
      </c>
      <c r="B41" s="55" t="e">
        <f>#REF!</f>
        <v>#REF!</v>
      </c>
      <c r="C41" s="56"/>
      <c r="D41" s="56"/>
      <c r="E41" s="57"/>
      <c r="F41" s="73"/>
      <c r="G41" s="74"/>
      <c r="H41" s="75"/>
      <c r="I41" s="75"/>
      <c r="J41" s="75"/>
      <c r="K41" s="75"/>
      <c r="L41" s="75"/>
      <c r="M41" s="75"/>
    </row>
    <row r="42" spans="1:13" x14ac:dyDescent="0.25">
      <c r="A42" s="54" t="e">
        <f>#REF!</f>
        <v>#REF!</v>
      </c>
      <c r="B42" s="55" t="e">
        <f>#REF!</f>
        <v>#REF!</v>
      </c>
      <c r="C42" s="56"/>
      <c r="D42" s="56"/>
      <c r="E42" s="57"/>
      <c r="F42" s="73" t="e">
        <f t="shared" si="0"/>
        <v>#REF!</v>
      </c>
      <c r="G42" s="74" t="e">
        <f>#REF!</f>
        <v>#REF!</v>
      </c>
      <c r="H42" s="75"/>
      <c r="I42" s="75"/>
      <c r="J42" s="75"/>
      <c r="K42" s="75"/>
      <c r="L42" s="75"/>
      <c r="M42" s="75"/>
    </row>
    <row r="43" spans="1:13" x14ac:dyDescent="0.25">
      <c r="A43" s="54" t="e">
        <f>#REF!</f>
        <v>#REF!</v>
      </c>
      <c r="B43" s="55" t="e">
        <f>#REF!</f>
        <v>#REF!</v>
      </c>
      <c r="C43" s="56"/>
      <c r="D43" s="56"/>
      <c r="E43" s="57"/>
      <c r="F43" s="73" t="e">
        <f t="shared" si="0"/>
        <v>#REF!</v>
      </c>
      <c r="G43" s="74" t="e">
        <f>#REF!</f>
        <v>#REF!</v>
      </c>
      <c r="H43" s="75"/>
      <c r="I43" s="75"/>
      <c r="J43" s="75"/>
      <c r="K43" s="75"/>
      <c r="L43" s="75"/>
      <c r="M43" s="75"/>
    </row>
    <row r="44" spans="1:13" x14ac:dyDescent="0.25">
      <c r="A44" s="54" t="e">
        <f>#REF!</f>
        <v>#REF!</v>
      </c>
      <c r="B44" s="55" t="e">
        <f>#REF!</f>
        <v>#REF!</v>
      </c>
      <c r="C44" s="56"/>
      <c r="D44" s="56"/>
      <c r="E44" s="57"/>
      <c r="F44" s="73" t="e">
        <f t="shared" si="0"/>
        <v>#REF!</v>
      </c>
      <c r="G44" s="74" t="e">
        <f>#REF!</f>
        <v>#REF!</v>
      </c>
      <c r="H44" s="75"/>
      <c r="I44" s="75"/>
      <c r="J44" s="75"/>
      <c r="K44" s="75"/>
      <c r="L44" s="75"/>
      <c r="M44" s="75"/>
    </row>
    <row r="45" spans="1:13" x14ac:dyDescent="0.25">
      <c r="A45" s="54" t="e">
        <f>#REF!</f>
        <v>#REF!</v>
      </c>
      <c r="B45" s="55" t="e">
        <f>#REF!</f>
        <v>#REF!</v>
      </c>
      <c r="C45" s="56"/>
      <c r="D45" s="56"/>
      <c r="E45" s="57"/>
      <c r="F45" s="73" t="e">
        <f t="shared" si="0"/>
        <v>#REF!</v>
      </c>
      <c r="G45" s="74" t="e">
        <f>#REF!</f>
        <v>#REF!</v>
      </c>
      <c r="H45" s="75"/>
      <c r="I45" s="75"/>
      <c r="J45" s="75"/>
      <c r="K45" s="75"/>
      <c r="L45" s="75"/>
      <c r="M45" s="75"/>
    </row>
    <row r="46" spans="1:13" x14ac:dyDescent="0.25">
      <c r="A46" s="44"/>
      <c r="B46" s="45"/>
      <c r="C46" s="46"/>
      <c r="D46" s="46"/>
      <c r="E46" s="47"/>
      <c r="F46" s="76"/>
      <c r="G46" s="76"/>
      <c r="H46" s="76"/>
      <c r="I46" s="76"/>
      <c r="J46" s="76"/>
      <c r="K46" s="76"/>
      <c r="L46" s="76"/>
      <c r="M46" s="76"/>
    </row>
    <row r="47" spans="1:13" x14ac:dyDescent="0.25">
      <c r="A47" s="104" t="s">
        <v>13</v>
      </c>
      <c r="B47" s="48" t="s">
        <v>18</v>
      </c>
      <c r="C47" s="49"/>
      <c r="D47" s="49"/>
      <c r="E47" s="50"/>
      <c r="F47" s="106" t="e">
        <f>SUM(F12:F46)</f>
        <v>#REF!</v>
      </c>
      <c r="G47" s="106" t="e">
        <f>SUM(G14:G45)</f>
        <v>#REF!</v>
      </c>
      <c r="H47" s="71">
        <f>SUM(H12:H45)</f>
        <v>0</v>
      </c>
      <c r="I47" s="71">
        <f>SUM(I12:I45)</f>
        <v>0</v>
      </c>
      <c r="J47" s="71">
        <f>SUM(J12:J45)</f>
        <v>0</v>
      </c>
      <c r="K47" s="71">
        <f>SUM(K12:K45)</f>
        <v>0</v>
      </c>
      <c r="L47" s="71"/>
      <c r="M47" s="71"/>
    </row>
    <row r="48" spans="1:13" x14ac:dyDescent="0.25">
      <c r="A48" s="105"/>
      <c r="B48" s="48" t="s">
        <v>19</v>
      </c>
      <c r="C48" s="49"/>
      <c r="D48" s="49"/>
      <c r="E48" s="50"/>
      <c r="F48" s="107"/>
      <c r="G48" s="107"/>
      <c r="H48" s="71">
        <f>H47</f>
        <v>0</v>
      </c>
      <c r="I48" s="71">
        <f>I47</f>
        <v>0</v>
      </c>
      <c r="J48" s="71">
        <f>J47+H48</f>
        <v>0</v>
      </c>
      <c r="K48" s="71">
        <f>K47+I48</f>
        <v>0</v>
      </c>
      <c r="L48" s="71"/>
      <c r="M48" s="71"/>
    </row>
    <row r="49" spans="1:13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</row>
    <row r="50" spans="1:13" x14ac:dyDescent="0.25">
      <c r="A50" s="27"/>
      <c r="B50" s="27"/>
      <c r="C50" s="27"/>
      <c r="D50" s="27"/>
      <c r="E50" s="27"/>
      <c r="F50" s="27"/>
      <c r="G50" s="26"/>
      <c r="H50" s="27"/>
      <c r="I50" s="27"/>
      <c r="J50" s="27"/>
      <c r="K50" s="27"/>
      <c r="L50" s="27"/>
      <c r="M50" s="27"/>
    </row>
    <row r="51" spans="1:13" x14ac:dyDescent="0.25">
      <c r="A51" s="27"/>
      <c r="B51" s="27"/>
      <c r="C51" s="27"/>
      <c r="D51" s="27"/>
      <c r="E51" s="27"/>
      <c r="F51" s="27"/>
      <c r="G51" s="26"/>
      <c r="H51" s="27"/>
      <c r="I51" s="27"/>
      <c r="J51" s="27"/>
      <c r="K51" s="27"/>
      <c r="L51" s="27"/>
      <c r="M51" s="27"/>
    </row>
    <row r="52" spans="1:13" x14ac:dyDescent="0.25">
      <c r="A52" s="27"/>
      <c r="B52" s="27"/>
      <c r="C52" s="27"/>
      <c r="D52" s="27"/>
      <c r="E52" s="27"/>
      <c r="F52" s="27"/>
      <c r="G52" s="26"/>
      <c r="H52" s="27"/>
      <c r="I52" s="27"/>
      <c r="J52" s="27"/>
      <c r="K52" s="27"/>
      <c r="L52" s="27"/>
      <c r="M52" s="27"/>
    </row>
    <row r="53" spans="1:13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spans="1:13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spans="1:13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</row>
    <row r="56" spans="1:13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</row>
    <row r="57" spans="1:13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</row>
    <row r="58" spans="1:13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</row>
    <row r="59" spans="1:13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</row>
    <row r="60" spans="1:13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</row>
    <row r="61" spans="1:13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</row>
    <row r="62" spans="1:13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</row>
    <row r="63" spans="1:13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3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</row>
    <row r="65" spans="1:13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</row>
    <row r="66" spans="1:13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</row>
    <row r="67" spans="1:13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</row>
    <row r="68" spans="1:13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</row>
    <row r="69" spans="1:13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</row>
    <row r="70" spans="1:13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</row>
    <row r="71" spans="1:13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spans="1:13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spans="1:13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</row>
    <row r="74" spans="1:13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</row>
    <row r="75" spans="1:13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</row>
    <row r="76" spans="1:13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spans="1:13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</row>
    <row r="78" spans="1:13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</row>
    <row r="79" spans="1:13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</row>
    <row r="80" spans="1:13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</row>
    <row r="81" spans="1:13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</row>
    <row r="82" spans="1:13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</row>
    <row r="83" spans="1:13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</row>
    <row r="84" spans="1:13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</row>
    <row r="85" spans="1:13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</row>
    <row r="86" spans="1:13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</row>
    <row r="87" spans="1:13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</row>
    <row r="88" spans="1: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</row>
    <row r="89" spans="1: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</row>
    <row r="90" spans="1:13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</row>
    <row r="91" spans="1: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</row>
    <row r="92" spans="1: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</row>
    <row r="93" spans="1: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</row>
    <row r="94" spans="1:13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</row>
    <row r="95" spans="1:13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</row>
    <row r="96" spans="1:13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</row>
    <row r="97" spans="1:13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</row>
    <row r="98" spans="1:13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</row>
    <row r="99" spans="1:13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</row>
    <row r="100" spans="1:13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</row>
    <row r="101" spans="1:13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</row>
    <row r="102" spans="1:13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</row>
    <row r="103" spans="1:13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</row>
    <row r="104" spans="1:13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</row>
    <row r="105" spans="1:13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</row>
    <row r="106" spans="1:13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</row>
    <row r="107" spans="1:13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</row>
    <row r="108" spans="1:13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</row>
    <row r="109" spans="1:13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</row>
    <row r="110" spans="1:13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</row>
    <row r="111" spans="1:13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</row>
    <row r="112" spans="1:13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</row>
    <row r="113" spans="1:13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</row>
    <row r="114" spans="1:13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</row>
    <row r="115" spans="1:13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</row>
    <row r="116" spans="1:13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</row>
    <row r="117" spans="1:13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</row>
    <row r="118" spans="1:13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</row>
    <row r="119" spans="1:13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</row>
    <row r="120" spans="1:13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</row>
    <row r="121" spans="1:13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</row>
    <row r="122" spans="1:13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</row>
    <row r="123" spans="1:13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</row>
    <row r="124" spans="1:13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</row>
    <row r="125" spans="1:13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</row>
    <row r="126" spans="1:13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</row>
    <row r="127" spans="1:13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</row>
    <row r="128" spans="1:13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</row>
    <row r="129" spans="1:13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</row>
    <row r="130" spans="1:13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</row>
    <row r="131" spans="1:13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</row>
    <row r="132" spans="1:13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</row>
    <row r="133" spans="1:13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</row>
    <row r="134" spans="1:13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</row>
    <row r="135" spans="1:13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</row>
    <row r="136" spans="1:13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</row>
    <row r="137" spans="1:13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</row>
  </sheetData>
  <mergeCells count="12">
    <mergeCell ref="A47:A48"/>
    <mergeCell ref="F47:F48"/>
    <mergeCell ref="G47:G48"/>
    <mergeCell ref="F3:K3"/>
    <mergeCell ref="F4:K4"/>
    <mergeCell ref="A9:A11"/>
    <mergeCell ref="B9:E11"/>
    <mergeCell ref="F9:F10"/>
    <mergeCell ref="H9:M9"/>
    <mergeCell ref="H10:I10"/>
    <mergeCell ref="J10:K10"/>
    <mergeCell ref="L10:M10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topLeftCell="A10" zoomScale="75" zoomScaleNormal="75" workbookViewId="0">
      <selection activeCell="K29" sqref="K29"/>
    </sheetView>
  </sheetViews>
  <sheetFormatPr defaultRowHeight="12.75" x14ac:dyDescent="0.25"/>
  <cols>
    <col min="1" max="1" width="7.28515625" style="2" customWidth="1"/>
    <col min="2" max="2" width="2.42578125" style="2" customWidth="1"/>
    <col min="3" max="3" width="26.85546875" style="2" customWidth="1"/>
    <col min="4" max="4" width="20.140625" style="2" customWidth="1"/>
    <col min="5" max="5" width="6.85546875" style="2" customWidth="1"/>
    <col min="6" max="6" width="11.42578125" style="2" bestFit="1" customWidth="1"/>
    <col min="7" max="8" width="12.140625" style="2" customWidth="1"/>
    <col min="9" max="9" width="14.85546875" style="2" customWidth="1"/>
    <col min="10" max="10" width="16" style="2" customWidth="1"/>
    <col min="11" max="11" width="15" style="2" bestFit="1" customWidth="1"/>
    <col min="12" max="12" width="12.140625" style="2" bestFit="1" customWidth="1"/>
    <col min="13" max="13" width="12.28515625" style="2" bestFit="1" customWidth="1"/>
    <col min="14" max="15" width="11" style="2" bestFit="1" customWidth="1"/>
    <col min="16" max="16384" width="9.140625" style="2"/>
  </cols>
  <sheetData>
    <row r="1" spans="1:13" x14ac:dyDescent="0.25">
      <c r="A1" s="20" t="s">
        <v>26</v>
      </c>
    </row>
    <row r="2" spans="1:13" x14ac:dyDescent="0.25">
      <c r="A2" s="20" t="s">
        <v>27</v>
      </c>
    </row>
    <row r="3" spans="1:13" x14ac:dyDescent="0.25">
      <c r="A3" s="20"/>
    </row>
    <row r="4" spans="1:13" ht="15" customHeight="1" x14ac:dyDescent="0.25">
      <c r="A4" s="91" t="s">
        <v>78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3" ht="15" customHeight="1" x14ac:dyDescent="0.25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3" x14ac:dyDescent="0.25">
      <c r="A6" s="2" t="s">
        <v>7</v>
      </c>
    </row>
    <row r="7" spans="1:13" x14ac:dyDescent="0.25">
      <c r="A7" s="2" t="s">
        <v>28</v>
      </c>
      <c r="B7" s="2" t="s">
        <v>101</v>
      </c>
      <c r="L7" s="16"/>
    </row>
    <row r="8" spans="1:13" x14ac:dyDescent="0.25">
      <c r="A8" s="2" t="s">
        <v>99</v>
      </c>
      <c r="F8" s="2" t="s">
        <v>24</v>
      </c>
      <c r="G8" s="78">
        <v>180</v>
      </c>
      <c r="H8" s="2" t="s">
        <v>23</v>
      </c>
      <c r="I8" s="18"/>
      <c r="J8" s="18"/>
    </row>
    <row r="9" spans="1:13" s="27" customFormat="1" ht="12" customHeight="1" x14ac:dyDescent="0.25">
      <c r="A9" s="27" t="s">
        <v>20</v>
      </c>
      <c r="F9" s="2" t="s">
        <v>25</v>
      </c>
      <c r="G9" s="16">
        <v>2572.1</v>
      </c>
      <c r="H9" s="2" t="s">
        <v>0</v>
      </c>
      <c r="I9" s="18"/>
      <c r="J9" s="18"/>
      <c r="K9" s="2"/>
    </row>
    <row r="10" spans="1:13" ht="12" customHeight="1" x14ac:dyDescent="0.25">
      <c r="A10" s="27"/>
      <c r="B10" s="27"/>
      <c r="C10" s="27"/>
      <c r="D10" s="27"/>
      <c r="E10" s="5"/>
      <c r="F10" s="5"/>
      <c r="G10" s="27"/>
      <c r="H10" s="27"/>
      <c r="I10" s="27"/>
      <c r="J10" s="27"/>
    </row>
    <row r="11" spans="1:13" x14ac:dyDescent="0.25">
      <c r="A11" s="92" t="s">
        <v>3</v>
      </c>
      <c r="B11" s="92" t="s">
        <v>1</v>
      </c>
      <c r="C11" s="92"/>
      <c r="D11" s="92"/>
      <c r="E11" s="92" t="s">
        <v>2</v>
      </c>
      <c r="F11" s="92" t="s">
        <v>29</v>
      </c>
      <c r="G11" s="92" t="s">
        <v>83</v>
      </c>
      <c r="H11" s="92"/>
      <c r="I11" s="92" t="s">
        <v>84</v>
      </c>
      <c r="J11" s="92"/>
      <c r="K11" s="4" t="s">
        <v>21</v>
      </c>
    </row>
    <row r="12" spans="1:13" x14ac:dyDescent="0.25">
      <c r="A12" s="92"/>
      <c r="B12" s="92"/>
      <c r="C12" s="92"/>
      <c r="D12" s="92"/>
      <c r="E12" s="92"/>
      <c r="F12" s="92"/>
      <c r="G12" s="4" t="s">
        <v>82</v>
      </c>
      <c r="H12" s="4" t="s">
        <v>81</v>
      </c>
      <c r="I12" s="4" t="s">
        <v>82</v>
      </c>
      <c r="J12" s="4" t="s">
        <v>81</v>
      </c>
      <c r="K12" s="4" t="s">
        <v>22</v>
      </c>
    </row>
    <row r="13" spans="1:13" ht="13.5" customHeight="1" x14ac:dyDescent="0.25">
      <c r="A13" s="6"/>
      <c r="B13" s="99"/>
      <c r="C13" s="100"/>
      <c r="D13" s="100"/>
      <c r="E13" s="7"/>
      <c r="F13" s="8"/>
      <c r="G13" s="13"/>
      <c r="H13" s="13"/>
      <c r="I13" s="13"/>
      <c r="J13" s="13"/>
      <c r="K13" s="43"/>
    </row>
    <row r="14" spans="1:13" ht="13.5" customHeight="1" x14ac:dyDescent="0.25">
      <c r="A14" s="9" t="s">
        <v>5</v>
      </c>
      <c r="B14" s="10" t="s">
        <v>4</v>
      </c>
      <c r="C14" s="11"/>
      <c r="D14" s="11"/>
      <c r="E14" s="12"/>
      <c r="F14" s="13"/>
      <c r="G14" s="13"/>
      <c r="H14" s="13"/>
      <c r="I14" s="13"/>
      <c r="J14" s="13"/>
      <c r="K14" s="51"/>
    </row>
    <row r="15" spans="1:13" ht="13.5" customHeight="1" x14ac:dyDescent="0.25">
      <c r="A15" s="12" t="s">
        <v>45</v>
      </c>
      <c r="B15" s="66" t="s">
        <v>79</v>
      </c>
      <c r="C15" s="11"/>
      <c r="D15" s="11"/>
      <c r="E15" s="79" t="s">
        <v>0</v>
      </c>
      <c r="F15" s="13">
        <f>G9</f>
        <v>2572.1</v>
      </c>
      <c r="G15" s="13">
        <f>'ORC GLOBAL'!I18</f>
        <v>0.13999999999999999</v>
      </c>
      <c r="H15" s="13">
        <f>'ORC GLOBAL'!J18</f>
        <v>0.55999999999999994</v>
      </c>
      <c r="I15" s="13">
        <f t="shared" ref="I15:I21" si="0">TRUNC(F15*G15,2)</f>
        <v>360.09</v>
      </c>
      <c r="J15" s="13">
        <f t="shared" ref="J15:J21" si="1">TRUNC(F15*H15,2)</f>
        <v>1440.37</v>
      </c>
      <c r="K15" s="52">
        <f>TRUNC(I15+J15,2)</f>
        <v>1800.46</v>
      </c>
      <c r="L15" s="78"/>
      <c r="M15" s="80"/>
    </row>
    <row r="16" spans="1:13" ht="13.5" customHeight="1" x14ac:dyDescent="0.25">
      <c r="A16" s="12" t="s">
        <v>46</v>
      </c>
      <c r="B16" s="93" t="s">
        <v>73</v>
      </c>
      <c r="C16" s="94"/>
      <c r="D16" s="94"/>
      <c r="E16" s="60" t="s">
        <v>64</v>
      </c>
      <c r="F16" s="13"/>
      <c r="G16" s="13">
        <f>'ORC GLOBAL'!I19</f>
        <v>0</v>
      </c>
      <c r="H16" s="13">
        <f>'ORC GLOBAL'!J19</f>
        <v>0</v>
      </c>
      <c r="I16" s="13">
        <f t="shared" si="0"/>
        <v>0</v>
      </c>
      <c r="J16" s="13">
        <f t="shared" si="1"/>
        <v>0</v>
      </c>
      <c r="K16" s="52">
        <f t="shared" ref="K16:K40" si="2">TRUNC(I16+J16,2)</f>
        <v>0</v>
      </c>
      <c r="L16" s="78"/>
      <c r="M16" s="80"/>
    </row>
    <row r="17" spans="1:14" ht="13.5" customHeight="1" x14ac:dyDescent="0.25">
      <c r="A17" s="12" t="s">
        <v>47</v>
      </c>
      <c r="B17" s="93" t="s">
        <v>31</v>
      </c>
      <c r="C17" s="94"/>
      <c r="D17" s="94"/>
      <c r="E17" s="60" t="s">
        <v>64</v>
      </c>
      <c r="F17" s="13"/>
      <c r="G17" s="13">
        <f>'ORC GLOBAL'!I20</f>
        <v>0</v>
      </c>
      <c r="H17" s="13">
        <f>'ORC GLOBAL'!J20</f>
        <v>0</v>
      </c>
      <c r="I17" s="13">
        <f t="shared" si="0"/>
        <v>0</v>
      </c>
      <c r="J17" s="13">
        <f t="shared" si="1"/>
        <v>0</v>
      </c>
      <c r="K17" s="52">
        <f t="shared" si="2"/>
        <v>0</v>
      </c>
      <c r="L17" s="78"/>
      <c r="M17" s="80"/>
    </row>
    <row r="18" spans="1:14" ht="13.5" customHeight="1" x14ac:dyDescent="0.25">
      <c r="A18" s="12" t="s">
        <v>48</v>
      </c>
      <c r="B18" s="14" t="s">
        <v>30</v>
      </c>
      <c r="C18" s="15"/>
      <c r="D18" s="15"/>
      <c r="E18" s="12" t="s">
        <v>0</v>
      </c>
      <c r="F18" s="13">
        <f>F15</f>
        <v>2572.1</v>
      </c>
      <c r="G18" s="13">
        <f>'ORC GLOBAL'!I21</f>
        <v>1.08</v>
      </c>
      <c r="H18" s="13">
        <f>'ORC GLOBAL'!J21</f>
        <v>0.27</v>
      </c>
      <c r="I18" s="13">
        <f t="shared" si="0"/>
        <v>2777.86</v>
      </c>
      <c r="J18" s="13">
        <f t="shared" si="1"/>
        <v>694.46</v>
      </c>
      <c r="K18" s="52">
        <f t="shared" si="2"/>
        <v>3472.32</v>
      </c>
      <c r="L18" s="78"/>
      <c r="M18" s="80"/>
    </row>
    <row r="19" spans="1:14" ht="13.5" customHeight="1" x14ac:dyDescent="0.25">
      <c r="A19" s="12" t="s">
        <v>49</v>
      </c>
      <c r="B19" s="93" t="s">
        <v>71</v>
      </c>
      <c r="C19" s="94"/>
      <c r="D19" s="94"/>
      <c r="E19" s="12" t="s">
        <v>64</v>
      </c>
      <c r="F19" s="13">
        <f>F18*0.04</f>
        <v>102.884</v>
      </c>
      <c r="G19" s="13">
        <f>'ORC GLOBAL'!I22</f>
        <v>480</v>
      </c>
      <c r="H19" s="13">
        <f>'ORC GLOBAL'!J22</f>
        <v>120</v>
      </c>
      <c r="I19" s="13">
        <f t="shared" si="0"/>
        <v>49384.32</v>
      </c>
      <c r="J19" s="13">
        <f t="shared" si="1"/>
        <v>12346.08</v>
      </c>
      <c r="K19" s="52">
        <f t="shared" si="2"/>
        <v>61730.400000000001</v>
      </c>
      <c r="L19" s="78"/>
      <c r="M19" s="80"/>
    </row>
    <row r="20" spans="1:14" ht="13.5" customHeight="1" x14ac:dyDescent="0.25">
      <c r="A20" s="12" t="s">
        <v>50</v>
      </c>
      <c r="B20" s="14" t="s">
        <v>30</v>
      </c>
      <c r="C20" s="15"/>
      <c r="D20" s="15"/>
      <c r="E20" s="12" t="s">
        <v>0</v>
      </c>
      <c r="F20" s="13">
        <f>F18</f>
        <v>2572.1</v>
      </c>
      <c r="G20" s="13">
        <f>'ORC GLOBAL'!I23</f>
        <v>1.08</v>
      </c>
      <c r="H20" s="13">
        <f>'ORC GLOBAL'!J23</f>
        <v>0.27</v>
      </c>
      <c r="I20" s="13">
        <f t="shared" si="0"/>
        <v>2777.86</v>
      </c>
      <c r="J20" s="13">
        <f t="shared" si="1"/>
        <v>694.46</v>
      </c>
      <c r="K20" s="52">
        <f t="shared" si="2"/>
        <v>3472.32</v>
      </c>
      <c r="L20" s="78"/>
      <c r="M20" s="80"/>
    </row>
    <row r="21" spans="1:14" ht="13.5" customHeight="1" x14ac:dyDescent="0.25">
      <c r="A21" s="12" t="s">
        <v>80</v>
      </c>
      <c r="B21" s="93" t="s">
        <v>72</v>
      </c>
      <c r="C21" s="94"/>
      <c r="D21" s="94"/>
      <c r="E21" s="12" t="s">
        <v>64</v>
      </c>
      <c r="F21" s="13">
        <f>F20*0.04</f>
        <v>102.884</v>
      </c>
      <c r="G21" s="13">
        <f>'ORC GLOBAL'!I24</f>
        <v>480</v>
      </c>
      <c r="H21" s="13">
        <f>'ORC GLOBAL'!J24</f>
        <v>120</v>
      </c>
      <c r="I21" s="13">
        <f t="shared" si="0"/>
        <v>49384.32</v>
      </c>
      <c r="J21" s="13">
        <f t="shared" si="1"/>
        <v>12346.08</v>
      </c>
      <c r="K21" s="52">
        <f t="shared" si="2"/>
        <v>61730.400000000001</v>
      </c>
      <c r="L21" s="78"/>
      <c r="M21" s="80"/>
    </row>
    <row r="22" spans="1:14" ht="13.5" customHeight="1" x14ac:dyDescent="0.25">
      <c r="A22" s="12"/>
      <c r="B22" s="95" t="s">
        <v>66</v>
      </c>
      <c r="C22" s="96"/>
      <c r="D22" s="96"/>
      <c r="E22" s="61"/>
      <c r="F22" s="13"/>
      <c r="G22" s="13">
        <f>'ORC GLOBAL'!I25</f>
        <v>0</v>
      </c>
      <c r="H22" s="13">
        <f>'ORC GLOBAL'!J25</f>
        <v>0</v>
      </c>
      <c r="I22" s="84">
        <f>SUM(I15:I21)</f>
        <v>104684.45</v>
      </c>
      <c r="J22" s="84">
        <f>SUM(J15:J21)</f>
        <v>27521.449999999997</v>
      </c>
      <c r="K22" s="84">
        <f>SUM(K15:K21)</f>
        <v>132205.90000000002</v>
      </c>
      <c r="L22" s="78"/>
      <c r="M22" s="80"/>
    </row>
    <row r="23" spans="1:14" ht="13.5" customHeight="1" x14ac:dyDescent="0.25">
      <c r="A23" s="12"/>
      <c r="B23" s="58"/>
      <c r="C23" s="59"/>
      <c r="D23" s="59"/>
      <c r="E23" s="61"/>
      <c r="F23" s="13"/>
      <c r="G23" s="13">
        <f>'ORC GLOBAL'!I26</f>
        <v>0</v>
      </c>
      <c r="H23" s="13">
        <f>'ORC GLOBAL'!J26</f>
        <v>0</v>
      </c>
      <c r="I23" s="13"/>
      <c r="J23" s="13"/>
      <c r="K23" s="52"/>
      <c r="L23" s="78"/>
      <c r="M23" s="80"/>
    </row>
    <row r="24" spans="1:14" ht="13.5" customHeight="1" x14ac:dyDescent="0.25">
      <c r="A24" s="9" t="s">
        <v>51</v>
      </c>
      <c r="B24" s="101" t="s">
        <v>33</v>
      </c>
      <c r="C24" s="102"/>
      <c r="D24" s="102"/>
      <c r="E24" s="61"/>
      <c r="F24" s="13"/>
      <c r="G24" s="13">
        <f>'ORC GLOBAL'!I27</f>
        <v>0</v>
      </c>
      <c r="H24" s="13">
        <f>'ORC GLOBAL'!J27</f>
        <v>0</v>
      </c>
      <c r="I24" s="13"/>
      <c r="J24" s="13"/>
      <c r="K24" s="52"/>
      <c r="L24" s="78"/>
      <c r="M24" s="80"/>
    </row>
    <row r="25" spans="1:14" ht="13.5" customHeight="1" x14ac:dyDescent="0.25">
      <c r="A25" s="12" t="s">
        <v>52</v>
      </c>
      <c r="B25" s="93" t="s">
        <v>32</v>
      </c>
      <c r="C25" s="94"/>
      <c r="D25" s="94"/>
      <c r="E25" s="61" t="s">
        <v>64</v>
      </c>
      <c r="F25" s="13">
        <f>(F27+F28+F29)*1.5*0.6</f>
        <v>151.19999999999999</v>
      </c>
      <c r="G25" s="13">
        <f>'ORC GLOBAL'!I28</f>
        <v>9.6839999999999993</v>
      </c>
      <c r="H25" s="13">
        <f>'ORC GLOBAL'!J28</f>
        <v>6.4560000000000013</v>
      </c>
      <c r="I25" s="13">
        <f t="shared" ref="I25:I31" si="3">TRUNC(F25*G25,2)</f>
        <v>1464.22</v>
      </c>
      <c r="J25" s="13">
        <f t="shared" ref="J25:J31" si="4">TRUNC(F25*H25,2)</f>
        <v>976.14</v>
      </c>
      <c r="K25" s="52">
        <f t="shared" si="2"/>
        <v>2440.36</v>
      </c>
      <c r="L25" s="78"/>
      <c r="M25" s="80"/>
    </row>
    <row r="26" spans="1:14" ht="13.5" customHeight="1" x14ac:dyDescent="0.25">
      <c r="A26" s="12" t="s">
        <v>53</v>
      </c>
      <c r="B26" s="93" t="s">
        <v>35</v>
      </c>
      <c r="C26" s="94"/>
      <c r="D26" s="94"/>
      <c r="E26" s="62" t="s">
        <v>64</v>
      </c>
      <c r="F26" s="13">
        <f>(F25*1.3)-((F27*0.4*0.4))</f>
        <v>192.08</v>
      </c>
      <c r="G26" s="13">
        <f>'ORC GLOBAL'!I30</f>
        <v>3.7439999999999998</v>
      </c>
      <c r="H26" s="13">
        <f>'ORC GLOBAL'!J30</f>
        <v>0.93599999999999994</v>
      </c>
      <c r="I26" s="13">
        <f t="shared" si="3"/>
        <v>719.14</v>
      </c>
      <c r="J26" s="13">
        <f t="shared" si="4"/>
        <v>179.78</v>
      </c>
      <c r="K26" s="52">
        <f t="shared" si="2"/>
        <v>898.92</v>
      </c>
      <c r="L26" s="78"/>
      <c r="M26" s="80"/>
    </row>
    <row r="27" spans="1:14" ht="13.5" customHeight="1" x14ac:dyDescent="0.25">
      <c r="A27" s="12" t="s">
        <v>77</v>
      </c>
      <c r="B27" s="63" t="s">
        <v>34</v>
      </c>
      <c r="C27" s="64"/>
      <c r="D27" s="64"/>
      <c r="E27" s="60" t="s">
        <v>23</v>
      </c>
      <c r="F27" s="13">
        <v>28</v>
      </c>
      <c r="G27" s="13">
        <f>'ORC GLOBAL'!I31</f>
        <v>36.4</v>
      </c>
      <c r="H27" s="13">
        <f>'ORC GLOBAL'!J31</f>
        <v>9.1000000000000014</v>
      </c>
      <c r="I27" s="13">
        <f t="shared" si="3"/>
        <v>1019.2</v>
      </c>
      <c r="J27" s="13">
        <f t="shared" si="4"/>
        <v>254.8</v>
      </c>
      <c r="K27" s="52">
        <f t="shared" si="2"/>
        <v>1274</v>
      </c>
      <c r="L27" s="78"/>
      <c r="M27" s="80"/>
    </row>
    <row r="28" spans="1:14" ht="13.5" customHeight="1" x14ac:dyDescent="0.25">
      <c r="A28" s="12" t="s">
        <v>54</v>
      </c>
      <c r="B28" s="63" t="s">
        <v>37</v>
      </c>
      <c r="C28" s="64"/>
      <c r="D28" s="64"/>
      <c r="E28" s="60" t="s">
        <v>23</v>
      </c>
      <c r="F28" s="13">
        <v>100</v>
      </c>
      <c r="G28" s="13">
        <f>'ORC GLOBAL'!I32</f>
        <v>44.800000000000004</v>
      </c>
      <c r="H28" s="13">
        <f>'ORC GLOBAL'!J32</f>
        <v>11.199999999999996</v>
      </c>
      <c r="I28" s="13">
        <f t="shared" si="3"/>
        <v>4480</v>
      </c>
      <c r="J28" s="13">
        <f t="shared" si="4"/>
        <v>1120</v>
      </c>
      <c r="K28" s="52">
        <f t="shared" si="2"/>
        <v>5600</v>
      </c>
      <c r="L28" s="78"/>
      <c r="M28" s="80"/>
    </row>
    <row r="29" spans="1:14" ht="13.5" customHeight="1" x14ac:dyDescent="0.25">
      <c r="A29" s="12" t="s">
        <v>55</v>
      </c>
      <c r="B29" s="63" t="s">
        <v>75</v>
      </c>
      <c r="C29" s="64"/>
      <c r="D29" s="64"/>
      <c r="E29" s="60" t="s">
        <v>23</v>
      </c>
      <c r="F29" s="13">
        <v>40</v>
      </c>
      <c r="G29" s="13">
        <f>'ORC GLOBAL'!I33</f>
        <v>56</v>
      </c>
      <c r="H29" s="13">
        <f>'ORC GLOBAL'!J33</f>
        <v>14</v>
      </c>
      <c r="I29" s="13">
        <f t="shared" si="3"/>
        <v>2240</v>
      </c>
      <c r="J29" s="13">
        <f t="shared" si="4"/>
        <v>560</v>
      </c>
      <c r="K29" s="52">
        <f t="shared" si="2"/>
        <v>2800</v>
      </c>
      <c r="L29" s="78"/>
      <c r="M29" s="80"/>
    </row>
    <row r="30" spans="1:14" ht="13.5" customHeight="1" x14ac:dyDescent="0.25">
      <c r="A30" s="12" t="s">
        <v>56</v>
      </c>
      <c r="B30" s="66" t="s">
        <v>36</v>
      </c>
      <c r="C30" s="64"/>
      <c r="D30" s="64"/>
      <c r="E30" s="12" t="s">
        <v>65</v>
      </c>
      <c r="F30" s="13">
        <v>4</v>
      </c>
      <c r="G30" s="13">
        <f>'ORC GLOBAL'!I34</f>
        <v>552.03200000000004</v>
      </c>
      <c r="H30" s="13">
        <f>'ORC GLOBAL'!J34</f>
        <v>138.00799999999992</v>
      </c>
      <c r="I30" s="13">
        <f t="shared" si="3"/>
        <v>2208.12</v>
      </c>
      <c r="J30" s="13">
        <f t="shared" si="4"/>
        <v>552.03</v>
      </c>
      <c r="K30" s="52">
        <f t="shared" si="2"/>
        <v>2760.15</v>
      </c>
      <c r="L30" s="78"/>
      <c r="M30" s="80"/>
      <c r="N30" s="78"/>
    </row>
    <row r="31" spans="1:14" ht="13.5" customHeight="1" x14ac:dyDescent="0.25">
      <c r="A31" s="12" t="s">
        <v>57</v>
      </c>
      <c r="B31" s="66" t="s">
        <v>74</v>
      </c>
      <c r="C31" s="17"/>
      <c r="D31" s="17"/>
      <c r="E31" s="12" t="s">
        <v>65</v>
      </c>
      <c r="F31" s="13"/>
      <c r="G31" s="13">
        <f>'ORC GLOBAL'!I35</f>
        <v>662.4384</v>
      </c>
      <c r="H31" s="13">
        <f>'ORC GLOBAL'!J35</f>
        <v>165.60959999999989</v>
      </c>
      <c r="I31" s="13">
        <f t="shared" si="3"/>
        <v>0</v>
      </c>
      <c r="J31" s="13">
        <f t="shared" si="4"/>
        <v>0</v>
      </c>
      <c r="K31" s="52">
        <f t="shared" si="2"/>
        <v>0</v>
      </c>
      <c r="L31" s="78"/>
      <c r="M31" s="80"/>
    </row>
    <row r="32" spans="1:14" ht="13.5" customHeight="1" x14ac:dyDescent="0.25">
      <c r="A32" s="12"/>
      <c r="B32" s="95" t="s">
        <v>67</v>
      </c>
      <c r="C32" s="96"/>
      <c r="D32" s="96"/>
      <c r="E32" s="12"/>
      <c r="F32" s="13"/>
      <c r="G32" s="13">
        <f>'ORC GLOBAL'!I36</f>
        <v>0</v>
      </c>
      <c r="H32" s="13">
        <f>'ORC GLOBAL'!J36</f>
        <v>0</v>
      </c>
      <c r="I32" s="84">
        <f>SUM(I25:I31)</f>
        <v>12130.68</v>
      </c>
      <c r="J32" s="84">
        <f>SUM(J25:J31)</f>
        <v>3642.75</v>
      </c>
      <c r="K32" s="84">
        <f>SUM(K25:K31)</f>
        <v>15773.43</v>
      </c>
      <c r="L32" s="78"/>
      <c r="M32" s="80"/>
    </row>
    <row r="33" spans="1:17" ht="13.5" customHeight="1" x14ac:dyDescent="0.25">
      <c r="A33" s="12"/>
      <c r="B33" s="66"/>
      <c r="C33" s="17"/>
      <c r="D33" s="17"/>
      <c r="E33" s="12"/>
      <c r="F33" s="13"/>
      <c r="G33" s="13">
        <f>'ORC GLOBAL'!I37</f>
        <v>0</v>
      </c>
      <c r="H33" s="13">
        <f>'ORC GLOBAL'!J37</f>
        <v>0</v>
      </c>
      <c r="I33" s="13"/>
      <c r="J33" s="13"/>
      <c r="K33" s="52"/>
      <c r="L33" s="78"/>
      <c r="M33" s="80"/>
    </row>
    <row r="34" spans="1:17" ht="13.5" customHeight="1" x14ac:dyDescent="0.25">
      <c r="A34" s="9" t="s">
        <v>58</v>
      </c>
      <c r="B34" s="10" t="s">
        <v>39</v>
      </c>
      <c r="C34" s="17"/>
      <c r="D34" s="17"/>
      <c r="E34" s="12"/>
      <c r="F34" s="13"/>
      <c r="G34" s="13">
        <f>'ORC GLOBAL'!I38</f>
        <v>0</v>
      </c>
      <c r="H34" s="13">
        <f>'ORC GLOBAL'!J38</f>
        <v>0</v>
      </c>
      <c r="I34" s="13"/>
      <c r="J34" s="13"/>
      <c r="K34" s="52"/>
      <c r="L34" s="78"/>
      <c r="M34" s="80"/>
    </row>
    <row r="35" spans="1:17" ht="13.5" customHeight="1" x14ac:dyDescent="0.25">
      <c r="A35" s="12" t="s">
        <v>59</v>
      </c>
      <c r="B35" s="66" t="s">
        <v>40</v>
      </c>
      <c r="C35" s="17"/>
      <c r="D35" s="17"/>
      <c r="E35" s="12" t="s">
        <v>0</v>
      </c>
      <c r="F35" s="13">
        <f>180*0.1*2</f>
        <v>36</v>
      </c>
      <c r="G35" s="13">
        <f>'ORC GLOBAL'!I39</f>
        <v>13.984000000000002</v>
      </c>
      <c r="H35" s="13">
        <f>'ORC GLOBAL'!J39</f>
        <v>3.4959999999999987</v>
      </c>
      <c r="I35" s="13">
        <f t="shared" ref="I35:I40" si="5">TRUNC(F35*G35,2)</f>
        <v>503.42</v>
      </c>
      <c r="J35" s="13">
        <f t="shared" ref="J35:J40" si="6">TRUNC(F35*H35,2)</f>
        <v>125.85</v>
      </c>
      <c r="K35" s="52">
        <f t="shared" si="2"/>
        <v>629.27</v>
      </c>
      <c r="L35" s="78"/>
      <c r="M35" s="80"/>
    </row>
    <row r="36" spans="1:17" ht="13.5" customHeight="1" x14ac:dyDescent="0.25">
      <c r="A36" s="12" t="s">
        <v>60</v>
      </c>
      <c r="B36" s="66" t="s">
        <v>41</v>
      </c>
      <c r="C36" s="17"/>
      <c r="D36" s="17"/>
      <c r="E36" s="12" t="s">
        <v>0</v>
      </c>
      <c r="F36" s="13">
        <f>180*0.2</f>
        <v>36</v>
      </c>
      <c r="G36" s="13">
        <f>'ORC GLOBAL'!I40</f>
        <v>13.984000000000002</v>
      </c>
      <c r="H36" s="13">
        <f>'ORC GLOBAL'!J40</f>
        <v>3.4959999999999987</v>
      </c>
      <c r="I36" s="13">
        <f t="shared" si="5"/>
        <v>503.42</v>
      </c>
      <c r="J36" s="13">
        <f t="shared" si="6"/>
        <v>125.85</v>
      </c>
      <c r="K36" s="52">
        <f t="shared" si="2"/>
        <v>629.27</v>
      </c>
      <c r="L36" s="78"/>
      <c r="M36" s="80"/>
    </row>
    <row r="37" spans="1:17" ht="13.5" customHeight="1" x14ac:dyDescent="0.25">
      <c r="A37" s="12" t="s">
        <v>61</v>
      </c>
      <c r="B37" s="66" t="s">
        <v>42</v>
      </c>
      <c r="C37" s="17"/>
      <c r="D37" s="17"/>
      <c r="E37" s="12" t="s">
        <v>0</v>
      </c>
      <c r="F37" s="13">
        <f>(2.5*14/2*2)</f>
        <v>35</v>
      </c>
      <c r="G37" s="13">
        <f>'ORC GLOBAL'!I41</f>
        <v>13.984000000000002</v>
      </c>
      <c r="H37" s="13">
        <f>'ORC GLOBAL'!J41</f>
        <v>3.4959999999999987</v>
      </c>
      <c r="I37" s="13">
        <f t="shared" si="5"/>
        <v>489.44</v>
      </c>
      <c r="J37" s="13">
        <f t="shared" si="6"/>
        <v>122.36</v>
      </c>
      <c r="K37" s="52">
        <f t="shared" si="2"/>
        <v>611.79999999999995</v>
      </c>
      <c r="L37" s="78"/>
      <c r="M37" s="80"/>
    </row>
    <row r="38" spans="1:17" ht="13.5" customHeight="1" x14ac:dyDescent="0.25">
      <c r="A38" s="12" t="s">
        <v>62</v>
      </c>
      <c r="B38" s="66" t="s">
        <v>43</v>
      </c>
      <c r="C38" s="17"/>
      <c r="D38" s="17"/>
      <c r="E38" s="12" t="s">
        <v>65</v>
      </c>
      <c r="F38" s="13">
        <v>0</v>
      </c>
      <c r="G38" s="13">
        <f>'ORC GLOBAL'!I42</f>
        <v>154.80000000000001</v>
      </c>
      <c r="H38" s="13">
        <f>'ORC GLOBAL'!J42</f>
        <v>38.699999999999989</v>
      </c>
      <c r="I38" s="13">
        <f t="shared" si="5"/>
        <v>0</v>
      </c>
      <c r="J38" s="13">
        <f t="shared" si="6"/>
        <v>0</v>
      </c>
      <c r="K38" s="52">
        <f t="shared" si="2"/>
        <v>0</v>
      </c>
      <c r="L38" s="78"/>
      <c r="M38" s="80"/>
    </row>
    <row r="39" spans="1:17" ht="13.5" customHeight="1" x14ac:dyDescent="0.25">
      <c r="A39" s="12" t="s">
        <v>63</v>
      </c>
      <c r="B39" s="66" t="s">
        <v>70</v>
      </c>
      <c r="C39" s="17"/>
      <c r="D39" s="17"/>
      <c r="E39" s="12" t="s">
        <v>65</v>
      </c>
      <c r="F39" s="13">
        <v>1</v>
      </c>
      <c r="G39" s="13">
        <f>'ORC GLOBAL'!I43</f>
        <v>154.80000000000001</v>
      </c>
      <c r="H39" s="13">
        <f>'ORC GLOBAL'!J43</f>
        <v>38.699999999999989</v>
      </c>
      <c r="I39" s="13">
        <f t="shared" si="5"/>
        <v>154.80000000000001</v>
      </c>
      <c r="J39" s="13">
        <f t="shared" si="6"/>
        <v>38.700000000000003</v>
      </c>
      <c r="K39" s="52">
        <f t="shared" si="2"/>
        <v>193.5</v>
      </c>
      <c r="L39" s="78"/>
      <c r="M39" s="80"/>
    </row>
    <row r="40" spans="1:17" ht="13.5" customHeight="1" x14ac:dyDescent="0.25">
      <c r="A40" s="12" t="s">
        <v>69</v>
      </c>
      <c r="B40" s="66" t="s">
        <v>44</v>
      </c>
      <c r="C40" s="17"/>
      <c r="D40" s="17"/>
      <c r="E40" s="12" t="s">
        <v>0</v>
      </c>
      <c r="F40" s="13"/>
      <c r="G40" s="13">
        <f>'ORC GLOBAL'!I44</f>
        <v>390.048</v>
      </c>
      <c r="H40" s="13">
        <f>'ORC GLOBAL'!J44</f>
        <v>97.512</v>
      </c>
      <c r="I40" s="13">
        <f t="shared" si="5"/>
        <v>0</v>
      </c>
      <c r="J40" s="13">
        <f t="shared" si="6"/>
        <v>0</v>
      </c>
      <c r="K40" s="52">
        <f t="shared" si="2"/>
        <v>0</v>
      </c>
      <c r="L40" s="78"/>
      <c r="M40" s="80"/>
    </row>
    <row r="41" spans="1:17" ht="13.5" customHeight="1" x14ac:dyDescent="0.25">
      <c r="A41" s="12" t="s">
        <v>85</v>
      </c>
      <c r="B41" s="66" t="s">
        <v>86</v>
      </c>
      <c r="C41" s="17"/>
      <c r="D41" s="17"/>
      <c r="E41" s="12" t="s">
        <v>65</v>
      </c>
      <c r="F41" s="13">
        <v>4</v>
      </c>
      <c r="G41" s="13">
        <f>'ORC GLOBAL'!I45</f>
        <v>130.66199999999998</v>
      </c>
      <c r="H41" s="13">
        <f>'ORC GLOBAL'!J45</f>
        <v>55.998000000000019</v>
      </c>
      <c r="I41" s="13">
        <f>TRUNC(F41*G41,2)</f>
        <v>522.64</v>
      </c>
      <c r="J41" s="13">
        <f>TRUNC(F41*H41,2)</f>
        <v>223.99</v>
      </c>
      <c r="K41" s="52">
        <f>TRUNC(I41+J41,2)</f>
        <v>746.63</v>
      </c>
      <c r="L41" s="78"/>
      <c r="M41" s="80"/>
    </row>
    <row r="42" spans="1:17" ht="13.5" customHeight="1" x14ac:dyDescent="0.25">
      <c r="A42" s="12"/>
      <c r="B42" s="95" t="s">
        <v>68</v>
      </c>
      <c r="C42" s="96"/>
      <c r="D42" s="96"/>
      <c r="E42" s="12"/>
      <c r="F42" s="13"/>
      <c r="G42" s="13"/>
      <c r="H42" s="13"/>
      <c r="I42" s="84">
        <f>SUM(I35:I41)</f>
        <v>2173.7199999999998</v>
      </c>
      <c r="J42" s="84">
        <f>SUM(J35:J41)</f>
        <v>636.75</v>
      </c>
      <c r="K42" s="84">
        <f>SUM(K35:K41)</f>
        <v>2810.4700000000003</v>
      </c>
      <c r="L42" s="78"/>
      <c r="M42" s="80"/>
    </row>
    <row r="43" spans="1:17" x14ac:dyDescent="0.25">
      <c r="A43" s="21"/>
      <c r="B43" s="67"/>
      <c r="C43" s="68"/>
      <c r="D43" s="68"/>
      <c r="E43" s="21"/>
      <c r="F43" s="22"/>
      <c r="G43" s="83"/>
      <c r="H43" s="83"/>
      <c r="I43" s="83"/>
      <c r="J43" s="83"/>
      <c r="K43" s="53"/>
      <c r="L43" s="78"/>
      <c r="M43" s="80"/>
      <c r="N43" s="16"/>
      <c r="O43" s="16"/>
    </row>
    <row r="44" spans="1:17" ht="17.25" customHeight="1" x14ac:dyDescent="0.25">
      <c r="A44" s="97" t="s">
        <v>6</v>
      </c>
      <c r="B44" s="98"/>
      <c r="C44" s="98"/>
      <c r="D44" s="98"/>
      <c r="E44" s="98"/>
      <c r="F44" s="98"/>
      <c r="G44" s="82"/>
      <c r="H44" s="82"/>
      <c r="I44" s="85">
        <f>I42+I32+I22</f>
        <v>118988.84999999999</v>
      </c>
      <c r="J44" s="85">
        <f>J42+J32+J22</f>
        <v>31800.949999999997</v>
      </c>
      <c r="K44" s="85">
        <f>K42+K32+K22</f>
        <v>150789.80000000002</v>
      </c>
      <c r="L44" s="78"/>
      <c r="M44" s="80"/>
      <c r="N44" s="16"/>
      <c r="O44" s="16"/>
    </row>
    <row r="45" spans="1:17" s="20" customFormat="1" x14ac:dyDescent="0.25">
      <c r="A45" s="23"/>
      <c r="B45" s="23"/>
      <c r="C45" s="23"/>
      <c r="D45" s="24"/>
      <c r="E45" s="23"/>
      <c r="F45" s="23"/>
      <c r="G45" s="23"/>
      <c r="H45" s="23"/>
      <c r="I45" s="23"/>
      <c r="J45" s="23"/>
      <c r="K45" s="25"/>
      <c r="L45" s="25"/>
      <c r="M45" s="25"/>
      <c r="N45" s="19"/>
      <c r="O45" s="19"/>
    </row>
    <row r="46" spans="1:17" x14ac:dyDescent="0.25">
      <c r="A46" s="26"/>
      <c r="B46" s="27"/>
      <c r="C46" s="27"/>
      <c r="D46" s="27"/>
      <c r="E46" s="27"/>
      <c r="F46" s="28"/>
      <c r="G46" s="27"/>
      <c r="H46" s="27"/>
      <c r="I46" s="27"/>
      <c r="J46" s="27"/>
      <c r="K46" s="28"/>
      <c r="L46" s="28"/>
      <c r="M46" s="28"/>
      <c r="N46" s="16"/>
    </row>
    <row r="47" spans="1:17" s="20" customFormat="1" ht="12.75" customHeight="1" x14ac:dyDescent="0.3">
      <c r="A47" s="26"/>
      <c r="B47" s="23"/>
      <c r="C47" s="29"/>
      <c r="D47" s="24"/>
      <c r="E47" s="27"/>
      <c r="F47" s="28"/>
      <c r="G47" s="26"/>
      <c r="H47" s="26"/>
      <c r="I47" s="26"/>
      <c r="J47" s="26"/>
      <c r="K47" s="25"/>
      <c r="L47" s="28"/>
      <c r="M47" s="25"/>
      <c r="N47" s="19"/>
    </row>
    <row r="48" spans="1:17" x14ac:dyDescent="0.25">
      <c r="A48" s="26"/>
      <c r="B48" s="27"/>
      <c r="C48" s="27" t="s">
        <v>89</v>
      </c>
      <c r="D48" s="27"/>
      <c r="E48" s="27"/>
      <c r="F48" s="28"/>
      <c r="G48" s="23"/>
      <c r="H48" s="23"/>
      <c r="I48" s="26" t="s">
        <v>88</v>
      </c>
      <c r="J48" s="26"/>
      <c r="M48" s="28"/>
      <c r="N48" s="30"/>
      <c r="P48" s="18"/>
      <c r="Q48" s="16"/>
    </row>
    <row r="49" spans="1:16" x14ac:dyDescent="0.25">
      <c r="A49" s="27"/>
      <c r="B49" s="27"/>
      <c r="C49" s="27" t="s">
        <v>90</v>
      </c>
      <c r="D49" s="27"/>
      <c r="E49" s="27"/>
      <c r="F49" s="27"/>
      <c r="G49" s="26"/>
      <c r="H49" s="26"/>
      <c r="I49" s="27" t="s">
        <v>91</v>
      </c>
      <c r="J49" s="27"/>
      <c r="M49" s="28"/>
      <c r="N49" s="28"/>
      <c r="P49" s="16"/>
    </row>
    <row r="50" spans="1:16" x14ac:dyDescent="0.25">
      <c r="A50" s="26"/>
      <c r="B50" s="27"/>
      <c r="C50" s="27"/>
      <c r="D50" s="27"/>
      <c r="E50" s="27"/>
      <c r="F50" s="28"/>
      <c r="G50" s="24"/>
      <c r="H50" s="24"/>
      <c r="I50" s="24"/>
      <c r="J50" s="24"/>
      <c r="K50" s="28"/>
      <c r="L50" s="28"/>
      <c r="M50" s="30"/>
      <c r="O50" s="18"/>
      <c r="P50" s="16"/>
    </row>
    <row r="51" spans="1:16" x14ac:dyDescent="0.25">
      <c r="A51" s="26"/>
      <c r="B51" s="27"/>
      <c r="C51" s="27"/>
      <c r="D51" s="27"/>
      <c r="E51" s="27"/>
      <c r="F51" s="28"/>
      <c r="G51" s="23"/>
      <c r="H51" s="23"/>
      <c r="I51" s="23"/>
      <c r="J51" s="23"/>
      <c r="K51" s="28"/>
      <c r="L51" s="28"/>
      <c r="M51" s="30"/>
      <c r="O51" s="18"/>
      <c r="P51" s="16"/>
    </row>
    <row r="52" spans="1:16" x14ac:dyDescent="0.25">
      <c r="A52" s="27"/>
      <c r="B52" s="27"/>
      <c r="C52" s="27"/>
      <c r="D52" s="27"/>
      <c r="E52" s="27"/>
      <c r="F52" s="27"/>
      <c r="G52" s="26"/>
      <c r="H52" s="26"/>
      <c r="I52" s="26"/>
      <c r="J52" s="26"/>
      <c r="K52" s="28"/>
      <c r="L52" s="28"/>
      <c r="M52" s="28"/>
      <c r="O52" s="16"/>
    </row>
    <row r="53" spans="1:16" x14ac:dyDescent="0.25">
      <c r="A53" s="27"/>
      <c r="B53" s="27"/>
      <c r="C53" s="27"/>
      <c r="D53" s="27"/>
      <c r="E53" s="28"/>
      <c r="F53" s="26"/>
      <c r="G53" s="26"/>
      <c r="H53" s="26"/>
      <c r="I53" s="26"/>
      <c r="J53" s="26"/>
      <c r="K53" s="28"/>
      <c r="L53" s="28"/>
      <c r="M53" s="28"/>
      <c r="O53" s="16"/>
    </row>
    <row r="54" spans="1:16" x14ac:dyDescent="0.25">
      <c r="A54" s="27"/>
      <c r="B54" s="27"/>
      <c r="C54" s="27"/>
      <c r="D54" s="27"/>
      <c r="E54" s="28"/>
      <c r="F54" s="26"/>
      <c r="G54" s="26"/>
      <c r="H54" s="26"/>
      <c r="I54" s="26"/>
      <c r="J54" s="26"/>
      <c r="K54" s="28"/>
      <c r="L54" s="28"/>
      <c r="M54" s="28"/>
      <c r="O54" s="16"/>
    </row>
    <row r="55" spans="1:16" x14ac:dyDescent="0.25">
      <c r="A55" s="27"/>
      <c r="B55" s="27"/>
      <c r="C55" s="27"/>
      <c r="D55" s="27"/>
      <c r="E55" s="28"/>
      <c r="F55" s="26"/>
      <c r="G55" s="24"/>
      <c r="H55" s="24"/>
      <c r="I55" s="24"/>
      <c r="J55" s="24"/>
      <c r="K55" s="28"/>
      <c r="L55" s="28"/>
      <c r="M55" s="28"/>
    </row>
    <row r="56" spans="1:16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O56" s="16"/>
    </row>
    <row r="57" spans="1:16" x14ac:dyDescent="0.25">
      <c r="A57" s="27"/>
      <c r="B57" s="27"/>
      <c r="C57" s="27"/>
      <c r="D57" s="27"/>
      <c r="E57" s="27"/>
      <c r="F57" s="24"/>
      <c r="G57" s="24"/>
      <c r="H57" s="24"/>
      <c r="I57" s="24"/>
      <c r="J57" s="24"/>
      <c r="K57" s="27"/>
      <c r="L57" s="27"/>
      <c r="M57" s="27"/>
    </row>
    <row r="58" spans="1:16" x14ac:dyDescent="0.25">
      <c r="A58" s="27"/>
      <c r="B58" s="27"/>
      <c r="C58" s="27"/>
      <c r="D58" s="27"/>
      <c r="E58" s="27"/>
      <c r="F58" s="27"/>
      <c r="G58" s="26"/>
      <c r="H58" s="26"/>
      <c r="I58" s="26"/>
      <c r="J58" s="26"/>
      <c r="K58" s="26"/>
      <c r="L58" s="27"/>
      <c r="M58" s="27"/>
    </row>
    <row r="59" spans="1:16" x14ac:dyDescent="0.25">
      <c r="A59" s="27"/>
      <c r="B59" s="27"/>
      <c r="C59" s="27"/>
      <c r="D59" s="27"/>
      <c r="E59" s="27"/>
      <c r="F59" s="27"/>
      <c r="G59" s="26"/>
      <c r="H59" s="26"/>
      <c r="I59" s="26"/>
      <c r="J59" s="26"/>
      <c r="K59" s="27"/>
      <c r="L59" s="27"/>
      <c r="M59" s="27"/>
    </row>
    <row r="60" spans="1:16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</row>
    <row r="61" spans="1:16" x14ac:dyDescent="0.25">
      <c r="A61" s="27"/>
      <c r="B61" s="27"/>
      <c r="C61" s="27"/>
      <c r="D61" s="27"/>
      <c r="E61" s="27"/>
      <c r="F61" s="27"/>
      <c r="G61" s="26"/>
      <c r="H61" s="26"/>
      <c r="I61" s="26"/>
      <c r="J61" s="26"/>
      <c r="K61" s="27"/>
      <c r="L61" s="27"/>
      <c r="M61" s="27"/>
    </row>
    <row r="62" spans="1:16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</row>
    <row r="63" spans="1:16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6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</row>
    <row r="65" spans="1:13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</row>
    <row r="66" spans="1:13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</row>
    <row r="67" spans="1:13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</row>
    <row r="68" spans="1:13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</row>
    <row r="69" spans="1:13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</row>
    <row r="70" spans="1:13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</row>
    <row r="71" spans="1:13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spans="1:13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spans="1:13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</row>
    <row r="74" spans="1:13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</row>
    <row r="75" spans="1:13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</row>
    <row r="76" spans="1:13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spans="1:13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</row>
    <row r="78" spans="1:13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</row>
    <row r="79" spans="1:13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</row>
    <row r="80" spans="1:13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</row>
    <row r="81" spans="1:13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</row>
    <row r="82" spans="1:13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</row>
    <row r="83" spans="1:13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</row>
    <row r="84" spans="1:13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</row>
    <row r="85" spans="1:13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</row>
    <row r="86" spans="1:13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</row>
    <row r="87" spans="1:13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</row>
    <row r="88" spans="1: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</row>
    <row r="89" spans="1: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</row>
    <row r="90" spans="1:13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</row>
    <row r="91" spans="1: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</row>
    <row r="92" spans="1: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</row>
    <row r="93" spans="1: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</row>
    <row r="94" spans="1:13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</row>
    <row r="95" spans="1:13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</row>
    <row r="96" spans="1:13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</row>
    <row r="97" spans="1:13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</row>
    <row r="98" spans="1:13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</row>
    <row r="99" spans="1:13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</row>
    <row r="100" spans="1:13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</row>
    <row r="101" spans="1:13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</row>
    <row r="102" spans="1:13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</row>
    <row r="103" spans="1:13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</row>
    <row r="104" spans="1:13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</row>
    <row r="105" spans="1:13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</row>
    <row r="106" spans="1:13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</row>
    <row r="107" spans="1:13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</row>
    <row r="108" spans="1:13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</row>
    <row r="109" spans="1:13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</row>
    <row r="110" spans="1:13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</row>
    <row r="111" spans="1:13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</row>
    <row r="112" spans="1:13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</row>
    <row r="113" spans="1:13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</row>
    <row r="114" spans="1:13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</row>
    <row r="115" spans="1:13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</row>
    <row r="116" spans="1:13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</row>
    <row r="117" spans="1:13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</row>
    <row r="118" spans="1:13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</row>
    <row r="119" spans="1:13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</row>
    <row r="120" spans="1:13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</row>
    <row r="121" spans="1:13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</row>
    <row r="122" spans="1:13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</row>
    <row r="123" spans="1:13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</row>
    <row r="124" spans="1:13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</row>
    <row r="125" spans="1:13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</row>
    <row r="126" spans="1:13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</row>
    <row r="127" spans="1:13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</row>
    <row r="128" spans="1:13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</row>
    <row r="129" spans="1:13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</row>
    <row r="130" spans="1:13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</row>
    <row r="131" spans="1:13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</row>
  </sheetData>
  <mergeCells count="19">
    <mergeCell ref="B42:D42"/>
    <mergeCell ref="A44:F44"/>
    <mergeCell ref="B22:D22"/>
    <mergeCell ref="B24:D24"/>
    <mergeCell ref="B25:D25"/>
    <mergeCell ref="B26:D26"/>
    <mergeCell ref="B32:D32"/>
    <mergeCell ref="B13:D13"/>
    <mergeCell ref="B16:D16"/>
    <mergeCell ref="B17:D17"/>
    <mergeCell ref="B19:D19"/>
    <mergeCell ref="B21:D21"/>
    <mergeCell ref="A4:K4"/>
    <mergeCell ref="A11:A12"/>
    <mergeCell ref="B11:D12"/>
    <mergeCell ref="E11:E12"/>
    <mergeCell ref="F11:F12"/>
    <mergeCell ref="G11:H11"/>
    <mergeCell ref="I11:J11"/>
  </mergeCells>
  <pageMargins left="0.39370078740157483" right="0.39370078740157483" top="0.98425196850393704" bottom="0.78740157480314965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topLeftCell="A22" zoomScale="75" zoomScaleNormal="75" workbookViewId="0">
      <selection activeCell="K29" sqref="K29"/>
    </sheetView>
  </sheetViews>
  <sheetFormatPr defaultRowHeight="12.75" x14ac:dyDescent="0.25"/>
  <cols>
    <col min="1" max="1" width="7.28515625" style="2" customWidth="1"/>
    <col min="2" max="2" width="2.42578125" style="2" customWidth="1"/>
    <col min="3" max="3" width="26.85546875" style="2" customWidth="1"/>
    <col min="4" max="4" width="17.28515625" style="2" customWidth="1"/>
    <col min="5" max="5" width="6.85546875" style="2" customWidth="1"/>
    <col min="6" max="6" width="11.42578125" style="2" bestFit="1" customWidth="1"/>
    <col min="7" max="7" width="10.5703125" style="2" customWidth="1"/>
    <col min="8" max="8" width="10.28515625" style="2" customWidth="1"/>
    <col min="9" max="9" width="16.5703125" style="2" customWidth="1"/>
    <col min="10" max="10" width="13.5703125" style="2" customWidth="1"/>
    <col min="11" max="11" width="15" style="2" bestFit="1" customWidth="1"/>
    <col min="12" max="12" width="12.140625" style="2" bestFit="1" customWidth="1"/>
    <col min="13" max="13" width="12.28515625" style="2" bestFit="1" customWidth="1"/>
    <col min="14" max="15" width="11" style="2" bestFit="1" customWidth="1"/>
    <col min="16" max="16384" width="9.140625" style="2"/>
  </cols>
  <sheetData>
    <row r="1" spans="1:12" x14ac:dyDescent="0.25">
      <c r="A1" s="20" t="s">
        <v>26</v>
      </c>
    </row>
    <row r="2" spans="1:12" x14ac:dyDescent="0.25">
      <c r="A2" s="20" t="s">
        <v>27</v>
      </c>
    </row>
    <row r="3" spans="1:12" x14ac:dyDescent="0.25">
      <c r="A3" s="20"/>
    </row>
    <row r="4" spans="1:12" x14ac:dyDescent="0.25">
      <c r="A4" s="20"/>
    </row>
    <row r="5" spans="1:12" ht="15" customHeight="1" x14ac:dyDescent="0.25">
      <c r="A5" s="91" t="s">
        <v>78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2" ht="15" customHeight="1" x14ac:dyDescent="0.2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</row>
    <row r="7" spans="1:12" ht="15" customHeight="1" x14ac:dyDescent="0.25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1:12" x14ac:dyDescent="0.25">
      <c r="A8" s="2" t="s">
        <v>7</v>
      </c>
    </row>
    <row r="9" spans="1:12" x14ac:dyDescent="0.25">
      <c r="A9" s="2" t="s">
        <v>28</v>
      </c>
      <c r="B9" s="2" t="s">
        <v>102</v>
      </c>
      <c r="L9" s="16"/>
    </row>
    <row r="10" spans="1:12" x14ac:dyDescent="0.25">
      <c r="A10" s="2" t="s">
        <v>99</v>
      </c>
      <c r="F10" s="2" t="s">
        <v>24</v>
      </c>
      <c r="G10" s="78">
        <v>356.8</v>
      </c>
      <c r="H10" s="2" t="s">
        <v>23</v>
      </c>
      <c r="I10" s="18"/>
      <c r="J10" s="18"/>
    </row>
    <row r="11" spans="1:12" s="27" customFormat="1" ht="12" customHeight="1" x14ac:dyDescent="0.25">
      <c r="A11" s="27" t="s">
        <v>20</v>
      </c>
      <c r="F11" s="2" t="s">
        <v>25</v>
      </c>
      <c r="G11" s="87">
        <v>6255</v>
      </c>
      <c r="H11" s="2" t="s">
        <v>0</v>
      </c>
      <c r="I11" s="18"/>
      <c r="J11" s="18"/>
      <c r="K11" s="2"/>
    </row>
    <row r="12" spans="1:12" ht="12" customHeight="1" x14ac:dyDescent="0.25">
      <c r="A12" s="27"/>
      <c r="B12" s="27"/>
      <c r="C12" s="27"/>
      <c r="D12" s="27"/>
      <c r="E12" s="5"/>
      <c r="F12" s="5"/>
      <c r="G12" s="27"/>
      <c r="H12" s="27"/>
      <c r="I12" s="27"/>
      <c r="J12" s="27"/>
    </row>
    <row r="13" spans="1:12" x14ac:dyDescent="0.25">
      <c r="A13" s="92" t="s">
        <v>3</v>
      </c>
      <c r="B13" s="92" t="s">
        <v>1</v>
      </c>
      <c r="C13" s="92"/>
      <c r="D13" s="92"/>
      <c r="E13" s="92" t="s">
        <v>2</v>
      </c>
      <c r="F13" s="92" t="s">
        <v>29</v>
      </c>
      <c r="G13" s="92" t="s">
        <v>83</v>
      </c>
      <c r="H13" s="92"/>
      <c r="I13" s="92" t="s">
        <v>84</v>
      </c>
      <c r="J13" s="92"/>
      <c r="K13" s="4" t="s">
        <v>21</v>
      </c>
    </row>
    <row r="14" spans="1:12" x14ac:dyDescent="0.25">
      <c r="A14" s="92"/>
      <c r="B14" s="92"/>
      <c r="C14" s="92"/>
      <c r="D14" s="92"/>
      <c r="E14" s="92"/>
      <c r="F14" s="92"/>
      <c r="G14" s="4" t="s">
        <v>82</v>
      </c>
      <c r="H14" s="4" t="s">
        <v>81</v>
      </c>
      <c r="I14" s="4" t="s">
        <v>82</v>
      </c>
      <c r="J14" s="4" t="s">
        <v>81</v>
      </c>
      <c r="K14" s="4" t="s">
        <v>22</v>
      </c>
    </row>
    <row r="15" spans="1:12" ht="13.5" customHeight="1" x14ac:dyDescent="0.25">
      <c r="A15" s="6"/>
      <c r="B15" s="99"/>
      <c r="C15" s="100"/>
      <c r="D15" s="100"/>
      <c r="E15" s="7"/>
      <c r="F15" s="8"/>
      <c r="G15" s="13"/>
      <c r="H15" s="13"/>
      <c r="I15" s="13"/>
      <c r="J15" s="13"/>
      <c r="K15" s="43"/>
    </row>
    <row r="16" spans="1:12" ht="13.5" customHeight="1" x14ac:dyDescent="0.25">
      <c r="A16" s="9" t="s">
        <v>5</v>
      </c>
      <c r="B16" s="10" t="s">
        <v>4</v>
      </c>
      <c r="C16" s="11"/>
      <c r="D16" s="11"/>
      <c r="E16" s="12"/>
      <c r="F16" s="13"/>
      <c r="G16" s="13"/>
      <c r="H16" s="13"/>
      <c r="I16" s="13"/>
      <c r="J16" s="13"/>
      <c r="K16" s="51"/>
    </row>
    <row r="17" spans="1:13" ht="13.5" customHeight="1" x14ac:dyDescent="0.25">
      <c r="A17" s="12" t="s">
        <v>45</v>
      </c>
      <c r="B17" s="66" t="s">
        <v>79</v>
      </c>
      <c r="C17" s="11"/>
      <c r="D17" s="11"/>
      <c r="E17" s="79" t="s">
        <v>0</v>
      </c>
      <c r="F17" s="13">
        <f>G11</f>
        <v>6255</v>
      </c>
      <c r="G17" s="13">
        <f>'ORC GLOBAL'!I18</f>
        <v>0.13999999999999999</v>
      </c>
      <c r="H17" s="13">
        <f>'ORC GLOBAL'!J18</f>
        <v>0.55999999999999994</v>
      </c>
      <c r="I17" s="13">
        <f t="shared" ref="I17:I23" si="0">TRUNC(F17*G17,2)</f>
        <v>875.7</v>
      </c>
      <c r="J17" s="13">
        <f t="shared" ref="J17:J23" si="1">TRUNC(F17*H17,2)</f>
        <v>3502.8</v>
      </c>
      <c r="K17" s="52">
        <f>TRUNC(I17+J17,2)</f>
        <v>4378.5</v>
      </c>
      <c r="L17" s="78"/>
      <c r="M17" s="80"/>
    </row>
    <row r="18" spans="1:13" ht="13.5" customHeight="1" x14ac:dyDescent="0.25">
      <c r="A18" s="12" t="s">
        <v>46</v>
      </c>
      <c r="B18" s="93" t="s">
        <v>73</v>
      </c>
      <c r="C18" s="94"/>
      <c r="D18" s="94"/>
      <c r="E18" s="60" t="s">
        <v>64</v>
      </c>
      <c r="F18" s="13"/>
      <c r="G18" s="13">
        <f>'ORC GLOBAL'!I19</f>
        <v>0</v>
      </c>
      <c r="H18" s="13">
        <f>'ORC GLOBAL'!J19</f>
        <v>0</v>
      </c>
      <c r="I18" s="13">
        <f t="shared" si="0"/>
        <v>0</v>
      </c>
      <c r="J18" s="13">
        <f t="shared" si="1"/>
        <v>0</v>
      </c>
      <c r="K18" s="52">
        <f t="shared" ref="K18:K42" si="2">TRUNC(I18+J18,2)</f>
        <v>0</v>
      </c>
      <c r="L18" s="78"/>
      <c r="M18" s="80"/>
    </row>
    <row r="19" spans="1:13" ht="13.5" customHeight="1" x14ac:dyDescent="0.25">
      <c r="A19" s="12" t="s">
        <v>47</v>
      </c>
      <c r="B19" s="93" t="s">
        <v>31</v>
      </c>
      <c r="C19" s="94"/>
      <c r="D19" s="94"/>
      <c r="E19" s="60" t="s">
        <v>64</v>
      </c>
      <c r="F19" s="13"/>
      <c r="G19" s="13">
        <f>'ORC GLOBAL'!I20</f>
        <v>0</v>
      </c>
      <c r="H19" s="13">
        <f>'ORC GLOBAL'!J20</f>
        <v>0</v>
      </c>
      <c r="I19" s="13">
        <f t="shared" si="0"/>
        <v>0</v>
      </c>
      <c r="J19" s="13">
        <f t="shared" si="1"/>
        <v>0</v>
      </c>
      <c r="K19" s="52">
        <f t="shared" si="2"/>
        <v>0</v>
      </c>
      <c r="L19" s="78"/>
      <c r="M19" s="80"/>
    </row>
    <row r="20" spans="1:13" ht="13.5" customHeight="1" x14ac:dyDescent="0.25">
      <c r="A20" s="12" t="s">
        <v>48</v>
      </c>
      <c r="B20" s="14" t="s">
        <v>30</v>
      </c>
      <c r="C20" s="15"/>
      <c r="D20" s="15"/>
      <c r="E20" s="12" t="s">
        <v>0</v>
      </c>
      <c r="F20" s="13">
        <f>F17</f>
        <v>6255</v>
      </c>
      <c r="G20" s="13">
        <f>'ORC GLOBAL'!I21</f>
        <v>1.08</v>
      </c>
      <c r="H20" s="13">
        <f>'ORC GLOBAL'!J21</f>
        <v>0.27</v>
      </c>
      <c r="I20" s="13">
        <f t="shared" si="0"/>
        <v>6755.4</v>
      </c>
      <c r="J20" s="13">
        <f t="shared" si="1"/>
        <v>1688.85</v>
      </c>
      <c r="K20" s="52">
        <f t="shared" si="2"/>
        <v>8444.25</v>
      </c>
      <c r="L20" s="78"/>
      <c r="M20" s="80"/>
    </row>
    <row r="21" spans="1:13" ht="13.5" customHeight="1" x14ac:dyDescent="0.25">
      <c r="A21" s="12" t="s">
        <v>49</v>
      </c>
      <c r="B21" s="93" t="s">
        <v>71</v>
      </c>
      <c r="C21" s="94"/>
      <c r="D21" s="94"/>
      <c r="E21" s="12" t="s">
        <v>64</v>
      </c>
      <c r="F21" s="13">
        <f>F20*0.04</f>
        <v>250.20000000000002</v>
      </c>
      <c r="G21" s="13">
        <f>'ORC GLOBAL'!I22</f>
        <v>480</v>
      </c>
      <c r="H21" s="13">
        <f>'ORC GLOBAL'!J22</f>
        <v>120</v>
      </c>
      <c r="I21" s="13">
        <f t="shared" si="0"/>
        <v>120096</v>
      </c>
      <c r="J21" s="13">
        <f t="shared" si="1"/>
        <v>30024</v>
      </c>
      <c r="K21" s="52">
        <f t="shared" si="2"/>
        <v>150120</v>
      </c>
      <c r="L21" s="78"/>
      <c r="M21" s="80"/>
    </row>
    <row r="22" spans="1:13" ht="13.5" customHeight="1" x14ac:dyDescent="0.25">
      <c r="A22" s="12" t="s">
        <v>50</v>
      </c>
      <c r="B22" s="14" t="s">
        <v>30</v>
      </c>
      <c r="C22" s="15"/>
      <c r="D22" s="15"/>
      <c r="E22" s="12" t="s">
        <v>0</v>
      </c>
      <c r="F22" s="13">
        <f>F20</f>
        <v>6255</v>
      </c>
      <c r="G22" s="13">
        <f>'ORC GLOBAL'!I23</f>
        <v>1.08</v>
      </c>
      <c r="H22" s="13">
        <f>'ORC GLOBAL'!J23</f>
        <v>0.27</v>
      </c>
      <c r="I22" s="13">
        <f t="shared" si="0"/>
        <v>6755.4</v>
      </c>
      <c r="J22" s="13">
        <f t="shared" si="1"/>
        <v>1688.85</v>
      </c>
      <c r="K22" s="52">
        <f t="shared" si="2"/>
        <v>8444.25</v>
      </c>
      <c r="L22" s="78"/>
      <c r="M22" s="80"/>
    </row>
    <row r="23" spans="1:13" ht="13.5" customHeight="1" x14ac:dyDescent="0.25">
      <c r="A23" s="12" t="s">
        <v>80</v>
      </c>
      <c r="B23" s="93" t="s">
        <v>72</v>
      </c>
      <c r="C23" s="94"/>
      <c r="D23" s="94"/>
      <c r="E23" s="12" t="s">
        <v>64</v>
      </c>
      <c r="F23" s="13">
        <f>F22*0.04</f>
        <v>250.20000000000002</v>
      </c>
      <c r="G23" s="13">
        <f>'ORC GLOBAL'!I24</f>
        <v>480</v>
      </c>
      <c r="H23" s="13">
        <f>'ORC GLOBAL'!J24</f>
        <v>120</v>
      </c>
      <c r="I23" s="13">
        <f t="shared" si="0"/>
        <v>120096</v>
      </c>
      <c r="J23" s="13">
        <f t="shared" si="1"/>
        <v>30024</v>
      </c>
      <c r="K23" s="52">
        <f t="shared" si="2"/>
        <v>150120</v>
      </c>
      <c r="L23" s="78"/>
      <c r="M23" s="80"/>
    </row>
    <row r="24" spans="1:13" ht="13.5" customHeight="1" x14ac:dyDescent="0.25">
      <c r="A24" s="12"/>
      <c r="B24" s="95" t="s">
        <v>66</v>
      </c>
      <c r="C24" s="96"/>
      <c r="D24" s="96"/>
      <c r="E24" s="61"/>
      <c r="F24" s="13"/>
      <c r="G24" s="13">
        <f>'ORC GLOBAL'!I25</f>
        <v>0</v>
      </c>
      <c r="H24" s="13">
        <f>'ORC GLOBAL'!J25</f>
        <v>0</v>
      </c>
      <c r="I24" s="84">
        <f>SUM(I17:I23)</f>
        <v>254578.5</v>
      </c>
      <c r="J24" s="84">
        <f>SUM(J17:J23)</f>
        <v>66928.5</v>
      </c>
      <c r="K24" s="84">
        <f>SUM(K17:K23)</f>
        <v>321507</v>
      </c>
      <c r="L24" s="78"/>
      <c r="M24" s="80"/>
    </row>
    <row r="25" spans="1:13" ht="13.5" customHeight="1" x14ac:dyDescent="0.25">
      <c r="A25" s="12"/>
      <c r="B25" s="58"/>
      <c r="C25" s="59"/>
      <c r="D25" s="59"/>
      <c r="E25" s="61"/>
      <c r="F25" s="13"/>
      <c r="G25" s="13">
        <f>'ORC GLOBAL'!I26</f>
        <v>0</v>
      </c>
      <c r="H25" s="13">
        <f>'ORC GLOBAL'!J26</f>
        <v>0</v>
      </c>
      <c r="I25" s="13"/>
      <c r="J25" s="13"/>
      <c r="K25" s="52"/>
      <c r="L25" s="78"/>
      <c r="M25" s="80"/>
    </row>
    <row r="26" spans="1:13" ht="13.5" customHeight="1" x14ac:dyDescent="0.25">
      <c r="A26" s="9" t="s">
        <v>51</v>
      </c>
      <c r="B26" s="101" t="s">
        <v>33</v>
      </c>
      <c r="C26" s="102"/>
      <c r="D26" s="102"/>
      <c r="E26" s="61"/>
      <c r="F26" s="13"/>
      <c r="G26" s="13">
        <f>'ORC GLOBAL'!I27</f>
        <v>0</v>
      </c>
      <c r="H26" s="13">
        <f>'ORC GLOBAL'!J27</f>
        <v>0</v>
      </c>
      <c r="I26" s="13"/>
      <c r="J26" s="13"/>
      <c r="K26" s="52"/>
      <c r="L26" s="78"/>
      <c r="M26" s="80"/>
    </row>
    <row r="27" spans="1:13" ht="13.5" customHeight="1" x14ac:dyDescent="0.25">
      <c r="A27" s="12" t="s">
        <v>52</v>
      </c>
      <c r="B27" s="93" t="s">
        <v>32</v>
      </c>
      <c r="C27" s="94"/>
      <c r="D27" s="94"/>
      <c r="E27" s="61" t="s">
        <v>64</v>
      </c>
      <c r="F27" s="13">
        <f>(F30+F31+F32)*1.5*0.6</f>
        <v>224.1</v>
      </c>
      <c r="G27" s="13">
        <f>'ORC GLOBAL'!I28</f>
        <v>9.6839999999999993</v>
      </c>
      <c r="H27" s="13">
        <f>'ORC GLOBAL'!J28</f>
        <v>6.4560000000000013</v>
      </c>
      <c r="I27" s="13">
        <f t="shared" ref="I27:I34" si="3">TRUNC(F27*G27,2)</f>
        <v>2170.1799999999998</v>
      </c>
      <c r="J27" s="13">
        <f t="shared" ref="J27:J34" si="4">TRUNC(F27*H27,2)</f>
        <v>1446.78</v>
      </c>
      <c r="K27" s="52">
        <f t="shared" si="2"/>
        <v>3616.96</v>
      </c>
      <c r="L27" s="78"/>
      <c r="M27" s="80"/>
    </row>
    <row r="28" spans="1:13" ht="13.5" customHeight="1" x14ac:dyDescent="0.25">
      <c r="A28" s="12" t="s">
        <v>76</v>
      </c>
      <c r="B28" s="58" t="s">
        <v>38</v>
      </c>
      <c r="C28" s="59"/>
      <c r="D28" s="59"/>
      <c r="E28" s="62" t="s">
        <v>23</v>
      </c>
      <c r="F28" s="13"/>
      <c r="G28" s="13">
        <f>'ORC GLOBAL'!I29</f>
        <v>13.456000000000001</v>
      </c>
      <c r="H28" s="13">
        <f>'ORC GLOBAL'!J29</f>
        <v>3.363999999999999</v>
      </c>
      <c r="I28" s="13">
        <f t="shared" si="3"/>
        <v>0</v>
      </c>
      <c r="J28" s="13">
        <f t="shared" si="4"/>
        <v>0</v>
      </c>
      <c r="K28" s="52">
        <f t="shared" si="2"/>
        <v>0</v>
      </c>
      <c r="L28" s="78"/>
      <c r="M28" s="80"/>
    </row>
    <row r="29" spans="1:13" ht="13.5" customHeight="1" x14ac:dyDescent="0.25">
      <c r="A29" s="12" t="s">
        <v>53</v>
      </c>
      <c r="B29" s="93" t="s">
        <v>35</v>
      </c>
      <c r="C29" s="94"/>
      <c r="D29" s="94"/>
      <c r="E29" s="62" t="s">
        <v>64</v>
      </c>
      <c r="F29" s="13">
        <f>(F27*1.3)-((F30+F31)*0.4*0.4)</f>
        <v>257.89</v>
      </c>
      <c r="G29" s="13">
        <f>'ORC GLOBAL'!I30</f>
        <v>3.7439999999999998</v>
      </c>
      <c r="H29" s="13">
        <f>'ORC GLOBAL'!J30</f>
        <v>0.93599999999999994</v>
      </c>
      <c r="I29" s="13">
        <f t="shared" si="3"/>
        <v>965.54</v>
      </c>
      <c r="J29" s="13">
        <f t="shared" si="4"/>
        <v>241.38</v>
      </c>
      <c r="K29" s="52">
        <f t="shared" si="2"/>
        <v>1206.92</v>
      </c>
      <c r="L29" s="78"/>
      <c r="M29" s="80"/>
    </row>
    <row r="30" spans="1:13" ht="13.5" customHeight="1" x14ac:dyDescent="0.25">
      <c r="A30" s="12" t="s">
        <v>77</v>
      </c>
      <c r="B30" s="63" t="s">
        <v>34</v>
      </c>
      <c r="C30" s="64"/>
      <c r="D30" s="64"/>
      <c r="E30" s="60" t="s">
        <v>23</v>
      </c>
      <c r="F30" s="13">
        <v>58</v>
      </c>
      <c r="G30" s="13">
        <f>'ORC GLOBAL'!I31</f>
        <v>36.4</v>
      </c>
      <c r="H30" s="13">
        <f>'ORC GLOBAL'!J31</f>
        <v>9.1000000000000014</v>
      </c>
      <c r="I30" s="13">
        <f t="shared" si="3"/>
        <v>2111.1999999999998</v>
      </c>
      <c r="J30" s="13">
        <f t="shared" si="4"/>
        <v>527.79999999999995</v>
      </c>
      <c r="K30" s="52">
        <f t="shared" si="2"/>
        <v>2639</v>
      </c>
      <c r="L30" s="78"/>
      <c r="M30" s="80"/>
    </row>
    <row r="31" spans="1:13" ht="13.5" customHeight="1" x14ac:dyDescent="0.25">
      <c r="A31" s="12" t="s">
        <v>54</v>
      </c>
      <c r="B31" s="63" t="s">
        <v>37</v>
      </c>
      <c r="C31" s="64"/>
      <c r="D31" s="64"/>
      <c r="E31" s="60" t="s">
        <v>23</v>
      </c>
      <c r="F31" s="13">
        <v>151</v>
      </c>
      <c r="G31" s="13">
        <f>'ORC GLOBAL'!I32</f>
        <v>44.800000000000004</v>
      </c>
      <c r="H31" s="13">
        <f>'ORC GLOBAL'!J32</f>
        <v>11.199999999999996</v>
      </c>
      <c r="I31" s="13">
        <f t="shared" si="3"/>
        <v>6764.8</v>
      </c>
      <c r="J31" s="13">
        <f t="shared" si="4"/>
        <v>1691.2</v>
      </c>
      <c r="K31" s="52">
        <f t="shared" si="2"/>
        <v>8456</v>
      </c>
      <c r="L31" s="78"/>
      <c r="M31" s="80"/>
    </row>
    <row r="32" spans="1:13" ht="13.5" customHeight="1" x14ac:dyDescent="0.25">
      <c r="A32" s="12" t="s">
        <v>55</v>
      </c>
      <c r="B32" s="63" t="s">
        <v>75</v>
      </c>
      <c r="C32" s="64"/>
      <c r="D32" s="64"/>
      <c r="E32" s="60" t="s">
        <v>23</v>
      </c>
      <c r="F32" s="13">
        <v>40</v>
      </c>
      <c r="G32" s="13">
        <f>'ORC GLOBAL'!I33</f>
        <v>56</v>
      </c>
      <c r="H32" s="13">
        <f>'ORC GLOBAL'!J33</f>
        <v>14</v>
      </c>
      <c r="I32" s="13">
        <f t="shared" si="3"/>
        <v>2240</v>
      </c>
      <c r="J32" s="13">
        <f t="shared" si="4"/>
        <v>560</v>
      </c>
      <c r="K32" s="52">
        <f t="shared" si="2"/>
        <v>2800</v>
      </c>
      <c r="L32" s="78"/>
      <c r="M32" s="80"/>
    </row>
    <row r="33" spans="1:15" ht="13.5" customHeight="1" x14ac:dyDescent="0.25">
      <c r="A33" s="12" t="s">
        <v>56</v>
      </c>
      <c r="B33" s="66" t="s">
        <v>36</v>
      </c>
      <c r="C33" s="64"/>
      <c r="D33" s="64"/>
      <c r="E33" s="12" t="s">
        <v>65</v>
      </c>
      <c r="F33" s="13">
        <v>8</v>
      </c>
      <c r="G33" s="13">
        <f>'ORC GLOBAL'!I34</f>
        <v>552.03200000000004</v>
      </c>
      <c r="H33" s="13">
        <f>'ORC GLOBAL'!J34</f>
        <v>138.00799999999992</v>
      </c>
      <c r="I33" s="13">
        <f t="shared" si="3"/>
        <v>4416.25</v>
      </c>
      <c r="J33" s="13">
        <f t="shared" si="4"/>
        <v>1104.06</v>
      </c>
      <c r="K33" s="52">
        <f t="shared" si="2"/>
        <v>5520.31</v>
      </c>
      <c r="L33" s="78"/>
      <c r="M33" s="80"/>
      <c r="N33" s="78"/>
    </row>
    <row r="34" spans="1:15" ht="13.5" customHeight="1" x14ac:dyDescent="0.25">
      <c r="A34" s="12" t="s">
        <v>57</v>
      </c>
      <c r="B34" s="66" t="s">
        <v>74</v>
      </c>
      <c r="C34" s="17"/>
      <c r="D34" s="17"/>
      <c r="E34" s="12" t="s">
        <v>65</v>
      </c>
      <c r="F34" s="13">
        <v>2</v>
      </c>
      <c r="G34" s="13">
        <f>'ORC GLOBAL'!I35</f>
        <v>662.4384</v>
      </c>
      <c r="H34" s="13">
        <f>'ORC GLOBAL'!J35</f>
        <v>165.60959999999989</v>
      </c>
      <c r="I34" s="13">
        <f t="shared" si="3"/>
        <v>1324.87</v>
      </c>
      <c r="J34" s="13">
        <f t="shared" si="4"/>
        <v>331.21</v>
      </c>
      <c r="K34" s="52">
        <f t="shared" si="2"/>
        <v>1656.08</v>
      </c>
      <c r="L34" s="78"/>
      <c r="M34" s="80"/>
    </row>
    <row r="35" spans="1:15" ht="13.5" customHeight="1" x14ac:dyDescent="0.25">
      <c r="A35" s="12"/>
      <c r="B35" s="95" t="s">
        <v>67</v>
      </c>
      <c r="C35" s="96"/>
      <c r="D35" s="96"/>
      <c r="E35" s="12"/>
      <c r="F35" s="13"/>
      <c r="G35" s="13">
        <f>'ORC GLOBAL'!I36</f>
        <v>0</v>
      </c>
      <c r="H35" s="13">
        <f>'ORC GLOBAL'!J36</f>
        <v>0</v>
      </c>
      <c r="I35" s="84">
        <f>SUM(I27:I34)</f>
        <v>19992.84</v>
      </c>
      <c r="J35" s="84">
        <f>SUM(J27:J34)</f>
        <v>5902.4299999999994</v>
      </c>
      <c r="K35" s="84">
        <f>SUM(K27:K34)</f>
        <v>25895.270000000004</v>
      </c>
      <c r="L35" s="78"/>
      <c r="M35" s="80"/>
    </row>
    <row r="36" spans="1:15" ht="13.5" customHeight="1" x14ac:dyDescent="0.25">
      <c r="A36" s="12"/>
      <c r="B36" s="66"/>
      <c r="C36" s="17"/>
      <c r="D36" s="17"/>
      <c r="E36" s="12"/>
      <c r="F36" s="13"/>
      <c r="G36" s="13">
        <f>'ORC GLOBAL'!I37</f>
        <v>0</v>
      </c>
      <c r="H36" s="13">
        <f>'ORC GLOBAL'!J37</f>
        <v>0</v>
      </c>
      <c r="I36" s="13"/>
      <c r="J36" s="13"/>
      <c r="K36" s="52"/>
      <c r="L36" s="78"/>
      <c r="M36" s="80"/>
    </row>
    <row r="37" spans="1:15" ht="13.5" customHeight="1" x14ac:dyDescent="0.25">
      <c r="A37" s="9" t="s">
        <v>58</v>
      </c>
      <c r="B37" s="10" t="s">
        <v>39</v>
      </c>
      <c r="C37" s="17"/>
      <c r="D37" s="17"/>
      <c r="E37" s="12"/>
      <c r="F37" s="13"/>
      <c r="G37" s="13">
        <f>'ORC GLOBAL'!I38</f>
        <v>0</v>
      </c>
      <c r="H37" s="13">
        <f>'ORC GLOBAL'!J38</f>
        <v>0</v>
      </c>
      <c r="I37" s="13"/>
      <c r="J37" s="13"/>
      <c r="K37" s="52"/>
      <c r="L37" s="78"/>
      <c r="M37" s="80"/>
    </row>
    <row r="38" spans="1:15" ht="13.5" customHeight="1" x14ac:dyDescent="0.25">
      <c r="A38" s="12" t="s">
        <v>59</v>
      </c>
      <c r="B38" s="66" t="s">
        <v>40</v>
      </c>
      <c r="C38" s="17"/>
      <c r="D38" s="17"/>
      <c r="E38" s="12" t="s">
        <v>0</v>
      </c>
      <c r="F38" s="13">
        <f>350*0.1*2</f>
        <v>70</v>
      </c>
      <c r="G38" s="13">
        <f>'ORC GLOBAL'!I39</f>
        <v>13.984000000000002</v>
      </c>
      <c r="H38" s="13">
        <f>'ORC GLOBAL'!J39</f>
        <v>3.4959999999999987</v>
      </c>
      <c r="I38" s="13">
        <f t="shared" ref="I38:I44" si="5">TRUNC(F38*G38,2)</f>
        <v>978.88</v>
      </c>
      <c r="J38" s="13">
        <f t="shared" ref="J38:J44" si="6">TRUNC(F38*H38,2)</f>
        <v>244.72</v>
      </c>
      <c r="K38" s="52">
        <f t="shared" si="2"/>
        <v>1223.5999999999999</v>
      </c>
      <c r="L38" s="78"/>
      <c r="M38" s="80"/>
    </row>
    <row r="39" spans="1:15" ht="13.5" customHeight="1" x14ac:dyDescent="0.25">
      <c r="A39" s="12" t="s">
        <v>60</v>
      </c>
      <c r="B39" s="66" t="s">
        <v>41</v>
      </c>
      <c r="C39" s="17"/>
      <c r="D39" s="17"/>
      <c r="E39" s="12" t="s">
        <v>0</v>
      </c>
      <c r="F39" s="13">
        <f>350*0.2</f>
        <v>70</v>
      </c>
      <c r="G39" s="13">
        <f>'ORC GLOBAL'!I40</f>
        <v>13.984000000000002</v>
      </c>
      <c r="H39" s="13">
        <f>'ORC GLOBAL'!J40</f>
        <v>3.4959999999999987</v>
      </c>
      <c r="I39" s="13">
        <f t="shared" si="5"/>
        <v>978.88</v>
      </c>
      <c r="J39" s="13">
        <f t="shared" si="6"/>
        <v>244.72</v>
      </c>
      <c r="K39" s="52">
        <f t="shared" si="2"/>
        <v>1223.5999999999999</v>
      </c>
      <c r="L39" s="78"/>
      <c r="M39" s="80"/>
    </row>
    <row r="40" spans="1:15" ht="13.5" customHeight="1" x14ac:dyDescent="0.25">
      <c r="A40" s="12" t="s">
        <v>61</v>
      </c>
      <c r="B40" s="66" t="s">
        <v>42</v>
      </c>
      <c r="C40" s="17"/>
      <c r="D40" s="17"/>
      <c r="E40" s="12" t="s">
        <v>0</v>
      </c>
      <c r="F40" s="13">
        <f>(2.5*15/2*4)</f>
        <v>75</v>
      </c>
      <c r="G40" s="13">
        <f>'ORC GLOBAL'!I41</f>
        <v>13.984000000000002</v>
      </c>
      <c r="H40" s="13">
        <f>'ORC GLOBAL'!J41</f>
        <v>3.4959999999999987</v>
      </c>
      <c r="I40" s="13">
        <f t="shared" si="5"/>
        <v>1048.8</v>
      </c>
      <c r="J40" s="13">
        <f t="shared" si="6"/>
        <v>262.2</v>
      </c>
      <c r="K40" s="52">
        <f t="shared" si="2"/>
        <v>1311</v>
      </c>
      <c r="L40" s="78"/>
      <c r="M40" s="80"/>
    </row>
    <row r="41" spans="1:15" ht="13.5" customHeight="1" x14ac:dyDescent="0.25">
      <c r="A41" s="12" t="s">
        <v>62</v>
      </c>
      <c r="B41" s="66" t="s">
        <v>43</v>
      </c>
      <c r="C41" s="17"/>
      <c r="D41" s="17"/>
      <c r="E41" s="12" t="s">
        <v>65</v>
      </c>
      <c r="F41" s="13">
        <v>4</v>
      </c>
      <c r="G41" s="13">
        <f>'ORC GLOBAL'!I42</f>
        <v>154.80000000000001</v>
      </c>
      <c r="H41" s="13">
        <f>'ORC GLOBAL'!J42</f>
        <v>38.699999999999989</v>
      </c>
      <c r="I41" s="13">
        <f t="shared" si="5"/>
        <v>619.20000000000005</v>
      </c>
      <c r="J41" s="13">
        <f t="shared" si="6"/>
        <v>154.80000000000001</v>
      </c>
      <c r="K41" s="52">
        <f t="shared" si="2"/>
        <v>774</v>
      </c>
      <c r="L41" s="78"/>
      <c r="M41" s="80"/>
    </row>
    <row r="42" spans="1:15" ht="13.5" customHeight="1" x14ac:dyDescent="0.25">
      <c r="A42" s="12" t="s">
        <v>63</v>
      </c>
      <c r="B42" s="66" t="s">
        <v>70</v>
      </c>
      <c r="C42" s="17"/>
      <c r="D42" s="17"/>
      <c r="E42" s="12" t="s">
        <v>65</v>
      </c>
      <c r="F42" s="13">
        <v>0</v>
      </c>
      <c r="G42" s="13">
        <f>'ORC GLOBAL'!I43</f>
        <v>154.80000000000001</v>
      </c>
      <c r="H42" s="13">
        <f>'ORC GLOBAL'!J43</f>
        <v>38.699999999999989</v>
      </c>
      <c r="I42" s="13">
        <f t="shared" si="5"/>
        <v>0</v>
      </c>
      <c r="J42" s="13">
        <f t="shared" si="6"/>
        <v>0</v>
      </c>
      <c r="K42" s="52">
        <f t="shared" si="2"/>
        <v>0</v>
      </c>
      <c r="L42" s="78"/>
      <c r="M42" s="80"/>
    </row>
    <row r="43" spans="1:15" ht="13.5" customHeight="1" x14ac:dyDescent="0.25">
      <c r="A43" s="12" t="s">
        <v>69</v>
      </c>
      <c r="B43" s="66" t="s">
        <v>44</v>
      </c>
      <c r="C43" s="17"/>
      <c r="D43" s="17"/>
      <c r="E43" s="12" t="s">
        <v>0</v>
      </c>
      <c r="F43" s="13"/>
      <c r="G43" s="13">
        <f>'ORC GLOBAL'!I44</f>
        <v>390.048</v>
      </c>
      <c r="H43" s="13">
        <f>'ORC GLOBAL'!J44</f>
        <v>97.512</v>
      </c>
      <c r="I43" s="13">
        <f t="shared" si="5"/>
        <v>0</v>
      </c>
      <c r="J43" s="13">
        <f t="shared" si="6"/>
        <v>0</v>
      </c>
      <c r="K43" s="52">
        <f>TRUNC(I43+J43,2)</f>
        <v>0</v>
      </c>
      <c r="L43" s="78"/>
      <c r="M43" s="80"/>
    </row>
    <row r="44" spans="1:15" ht="13.5" customHeight="1" x14ac:dyDescent="0.25">
      <c r="A44" s="12" t="s">
        <v>85</v>
      </c>
      <c r="B44" s="66" t="s">
        <v>86</v>
      </c>
      <c r="C44" s="17"/>
      <c r="D44" s="17"/>
      <c r="E44" s="12" t="s">
        <v>65</v>
      </c>
      <c r="F44" s="13">
        <v>8</v>
      </c>
      <c r="G44" s="13">
        <f>'ORC GLOBAL'!I45</f>
        <v>130.66199999999998</v>
      </c>
      <c r="H44" s="13">
        <f>'ORC GLOBAL'!J45</f>
        <v>55.998000000000019</v>
      </c>
      <c r="I44" s="13">
        <f t="shared" si="5"/>
        <v>1045.29</v>
      </c>
      <c r="J44" s="13">
        <f t="shared" si="6"/>
        <v>447.98</v>
      </c>
      <c r="K44" s="52">
        <f>TRUNC(I44+J44,2)</f>
        <v>1493.27</v>
      </c>
      <c r="L44" s="78"/>
      <c r="M44" s="80"/>
    </row>
    <row r="45" spans="1:15" ht="13.5" customHeight="1" x14ac:dyDescent="0.25">
      <c r="A45" s="12"/>
      <c r="B45" s="95" t="s">
        <v>68</v>
      </c>
      <c r="C45" s="96"/>
      <c r="D45" s="96"/>
      <c r="E45" s="12"/>
      <c r="F45" s="13"/>
      <c r="G45" s="13"/>
      <c r="H45" s="13"/>
      <c r="I45" s="84">
        <f>SUM(I38:I44)</f>
        <v>4671.05</v>
      </c>
      <c r="J45" s="84">
        <f>SUM(J38:J44)</f>
        <v>1354.42</v>
      </c>
      <c r="K45" s="84">
        <f>SUM(K38:K44)</f>
        <v>6025.4699999999993</v>
      </c>
      <c r="L45" s="78"/>
      <c r="M45" s="80"/>
    </row>
    <row r="46" spans="1:15" x14ac:dyDescent="0.25">
      <c r="A46" s="21"/>
      <c r="B46" s="67"/>
      <c r="C46" s="68"/>
      <c r="D46" s="68"/>
      <c r="E46" s="21"/>
      <c r="F46" s="22"/>
      <c r="G46" s="83"/>
      <c r="H46" s="83"/>
      <c r="I46" s="83"/>
      <c r="J46" s="83"/>
      <c r="K46" s="53"/>
      <c r="L46" s="78"/>
      <c r="M46" s="80"/>
      <c r="N46" s="16"/>
      <c r="O46" s="16"/>
    </row>
    <row r="47" spans="1:15" ht="17.25" customHeight="1" x14ac:dyDescent="0.25">
      <c r="A47" s="97" t="s">
        <v>6</v>
      </c>
      <c r="B47" s="98"/>
      <c r="C47" s="98"/>
      <c r="D47" s="98"/>
      <c r="E47" s="98"/>
      <c r="F47" s="98"/>
      <c r="G47" s="82"/>
      <c r="H47" s="82"/>
      <c r="I47" s="85">
        <f>I45+I35+I24</f>
        <v>279242.39</v>
      </c>
      <c r="J47" s="85">
        <f>J45+J35+J24</f>
        <v>74185.350000000006</v>
      </c>
      <c r="K47" s="85">
        <f>K45+K35+K24</f>
        <v>353427.74</v>
      </c>
      <c r="L47" s="78"/>
      <c r="M47" s="80"/>
      <c r="N47" s="16"/>
      <c r="O47" s="16"/>
    </row>
    <row r="48" spans="1:15" s="20" customFormat="1" x14ac:dyDescent="0.25">
      <c r="A48" s="23"/>
      <c r="B48" s="23"/>
      <c r="C48" s="23"/>
      <c r="D48" s="24"/>
      <c r="E48" s="23"/>
      <c r="F48" s="23"/>
      <c r="G48" s="23"/>
      <c r="H48" s="23"/>
      <c r="I48" s="23"/>
      <c r="J48" s="23"/>
      <c r="K48" s="25"/>
      <c r="L48" s="25"/>
      <c r="M48" s="25"/>
      <c r="N48" s="19"/>
      <c r="O48" s="19"/>
    </row>
    <row r="49" spans="1:17" x14ac:dyDescent="0.25">
      <c r="A49" s="26"/>
      <c r="B49" s="27"/>
      <c r="C49" s="27"/>
      <c r="D49" s="27"/>
      <c r="E49" s="27"/>
      <c r="F49" s="28"/>
      <c r="G49" s="27"/>
      <c r="H49" s="27"/>
      <c r="I49" s="27"/>
      <c r="J49" s="27"/>
      <c r="K49" s="28"/>
      <c r="L49" s="28"/>
      <c r="M49" s="28"/>
      <c r="N49" s="16"/>
    </row>
    <row r="50" spans="1:17" s="20" customFormat="1" ht="12.75" customHeight="1" x14ac:dyDescent="0.3">
      <c r="A50" s="26"/>
      <c r="B50" s="23"/>
      <c r="C50" s="29"/>
      <c r="D50" s="24"/>
      <c r="E50" s="27"/>
      <c r="F50" s="28"/>
      <c r="G50" s="26"/>
      <c r="H50" s="26"/>
      <c r="I50" s="26"/>
      <c r="J50" s="26"/>
      <c r="K50" s="25"/>
      <c r="L50" s="28"/>
      <c r="M50" s="25"/>
      <c r="N50" s="19"/>
    </row>
    <row r="51" spans="1:17" x14ac:dyDescent="0.25">
      <c r="A51" s="26"/>
      <c r="B51" s="27"/>
      <c r="C51" s="27" t="s">
        <v>89</v>
      </c>
      <c r="D51" s="27"/>
      <c r="E51" s="27"/>
      <c r="F51" s="28"/>
      <c r="G51" s="23"/>
      <c r="H51" s="23"/>
      <c r="I51" s="26" t="s">
        <v>88</v>
      </c>
      <c r="J51" s="26"/>
      <c r="M51" s="28"/>
      <c r="N51" s="30"/>
      <c r="P51" s="18"/>
      <c r="Q51" s="16"/>
    </row>
    <row r="52" spans="1:17" x14ac:dyDescent="0.25">
      <c r="A52" s="27"/>
      <c r="B52" s="27"/>
      <c r="C52" s="27" t="s">
        <v>90</v>
      </c>
      <c r="D52" s="27"/>
      <c r="E52" s="27"/>
      <c r="F52" s="27"/>
      <c r="G52" s="26"/>
      <c r="H52" s="26"/>
      <c r="I52" s="27" t="s">
        <v>91</v>
      </c>
      <c r="J52" s="27"/>
      <c r="M52" s="28"/>
      <c r="N52" s="28"/>
      <c r="P52" s="16"/>
    </row>
    <row r="53" spans="1:17" x14ac:dyDescent="0.25">
      <c r="A53" s="26"/>
      <c r="B53" s="27"/>
      <c r="C53" s="27"/>
      <c r="D53" s="27"/>
      <c r="E53" s="27"/>
      <c r="F53" s="28"/>
      <c r="G53" s="24"/>
      <c r="H53" s="24"/>
      <c r="I53" s="24"/>
      <c r="J53" s="24"/>
      <c r="K53" s="28"/>
      <c r="L53" s="28"/>
      <c r="M53" s="30"/>
      <c r="O53" s="18"/>
      <c r="P53" s="16"/>
    </row>
    <row r="54" spans="1:17" x14ac:dyDescent="0.25">
      <c r="A54" s="26"/>
      <c r="B54" s="27"/>
      <c r="C54" s="27"/>
      <c r="D54" s="27"/>
      <c r="E54" s="27"/>
      <c r="F54" s="28"/>
      <c r="G54" s="23"/>
      <c r="H54" s="23"/>
      <c r="I54" s="23"/>
      <c r="J54" s="23"/>
      <c r="K54" s="28"/>
      <c r="L54" s="28"/>
      <c r="M54" s="30"/>
      <c r="O54" s="18"/>
      <c r="P54" s="16"/>
    </row>
    <row r="55" spans="1:17" x14ac:dyDescent="0.25">
      <c r="A55" s="27"/>
      <c r="B55" s="27"/>
      <c r="C55" s="27"/>
      <c r="D55" s="27"/>
      <c r="E55" s="27"/>
      <c r="F55" s="27"/>
      <c r="G55" s="26"/>
      <c r="H55" s="26"/>
      <c r="I55" s="26"/>
      <c r="J55" s="26"/>
      <c r="K55" s="28"/>
      <c r="L55" s="28"/>
      <c r="M55" s="28"/>
      <c r="O55" s="16"/>
    </row>
    <row r="56" spans="1:17" x14ac:dyDescent="0.25">
      <c r="A56" s="27"/>
      <c r="B56" s="27"/>
      <c r="C56" s="27"/>
      <c r="D56" s="27"/>
      <c r="E56" s="28"/>
      <c r="F56" s="26"/>
      <c r="G56" s="26"/>
      <c r="H56" s="26"/>
      <c r="I56" s="26"/>
      <c r="J56" s="26"/>
      <c r="K56" s="28"/>
      <c r="L56" s="28"/>
      <c r="M56" s="28"/>
      <c r="O56" s="16"/>
    </row>
    <row r="57" spans="1:17" x14ac:dyDescent="0.25">
      <c r="A57" s="27"/>
      <c r="B57" s="27"/>
      <c r="C57" s="27"/>
      <c r="D57" s="27"/>
      <c r="E57" s="28"/>
      <c r="F57" s="26"/>
      <c r="G57" s="26"/>
      <c r="H57" s="26"/>
      <c r="I57" s="26"/>
      <c r="J57" s="26"/>
      <c r="K57" s="28"/>
      <c r="L57" s="28"/>
      <c r="M57" s="28"/>
      <c r="O57" s="16"/>
    </row>
    <row r="58" spans="1:17" x14ac:dyDescent="0.25">
      <c r="A58" s="27"/>
      <c r="B58" s="27"/>
      <c r="C58" s="27"/>
      <c r="D58" s="27"/>
      <c r="E58" s="28"/>
      <c r="F58" s="26"/>
      <c r="G58" s="24"/>
      <c r="H58" s="24"/>
      <c r="I58" s="24"/>
      <c r="J58" s="24"/>
      <c r="K58" s="28"/>
      <c r="L58" s="28"/>
      <c r="M58" s="28"/>
    </row>
    <row r="59" spans="1:17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O59" s="16"/>
    </row>
    <row r="60" spans="1:17" x14ac:dyDescent="0.25">
      <c r="A60" s="27"/>
      <c r="B60" s="27"/>
      <c r="C60" s="27"/>
      <c r="D60" s="27"/>
      <c r="E60" s="27"/>
      <c r="F60" s="24"/>
      <c r="G60" s="24"/>
      <c r="H60" s="24"/>
      <c r="I60" s="24"/>
      <c r="J60" s="24"/>
      <c r="K60" s="27"/>
      <c r="L60" s="27"/>
      <c r="M60" s="27"/>
    </row>
    <row r="61" spans="1:17" x14ac:dyDescent="0.25">
      <c r="A61" s="27"/>
      <c r="B61" s="27"/>
      <c r="C61" s="27"/>
      <c r="D61" s="27"/>
      <c r="E61" s="27"/>
      <c r="F61" s="27"/>
      <c r="G61" s="26"/>
      <c r="H61" s="26"/>
      <c r="I61" s="26"/>
      <c r="J61" s="26"/>
      <c r="K61" s="26"/>
      <c r="L61" s="27"/>
      <c r="M61" s="27"/>
    </row>
    <row r="62" spans="1:17" x14ac:dyDescent="0.25">
      <c r="A62" s="27"/>
      <c r="B62" s="27"/>
      <c r="C62" s="27"/>
      <c r="D62" s="27"/>
      <c r="E62" s="27"/>
      <c r="F62" s="27"/>
      <c r="G62" s="26"/>
      <c r="H62" s="26"/>
      <c r="I62" s="26"/>
      <c r="J62" s="26"/>
      <c r="K62" s="27"/>
      <c r="L62" s="27"/>
      <c r="M62" s="27"/>
    </row>
    <row r="63" spans="1:17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7" x14ac:dyDescent="0.25">
      <c r="A64" s="27"/>
      <c r="B64" s="27"/>
      <c r="C64" s="27"/>
      <c r="D64" s="27"/>
      <c r="E64" s="27"/>
      <c r="F64" s="27"/>
      <c r="G64" s="26"/>
      <c r="H64" s="26"/>
      <c r="I64" s="26"/>
      <c r="J64" s="26"/>
      <c r="K64" s="27"/>
      <c r="L64" s="27"/>
      <c r="M64" s="27"/>
    </row>
    <row r="65" spans="1:13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</row>
    <row r="66" spans="1:13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</row>
    <row r="67" spans="1:13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</row>
    <row r="68" spans="1:13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</row>
    <row r="69" spans="1:13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</row>
    <row r="70" spans="1:13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</row>
    <row r="71" spans="1:13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spans="1:13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spans="1:13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</row>
    <row r="74" spans="1:13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</row>
    <row r="75" spans="1:13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</row>
    <row r="76" spans="1:13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spans="1:13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</row>
    <row r="78" spans="1:13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</row>
    <row r="79" spans="1:13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</row>
    <row r="80" spans="1:13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</row>
    <row r="81" spans="1:13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</row>
    <row r="82" spans="1:13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</row>
    <row r="83" spans="1:13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</row>
    <row r="84" spans="1:13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</row>
    <row r="85" spans="1:13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</row>
    <row r="86" spans="1:13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</row>
    <row r="87" spans="1:13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</row>
    <row r="88" spans="1: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</row>
    <row r="89" spans="1: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</row>
    <row r="90" spans="1:13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</row>
    <row r="91" spans="1: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</row>
    <row r="92" spans="1: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</row>
    <row r="93" spans="1: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</row>
    <row r="94" spans="1:13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</row>
    <row r="95" spans="1:13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</row>
    <row r="96" spans="1:13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</row>
    <row r="97" spans="1:13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</row>
    <row r="98" spans="1:13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</row>
    <row r="99" spans="1:13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</row>
    <row r="100" spans="1:13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</row>
    <row r="101" spans="1:13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</row>
    <row r="102" spans="1:13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</row>
    <row r="103" spans="1:13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</row>
    <row r="104" spans="1:13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</row>
    <row r="105" spans="1:13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</row>
    <row r="106" spans="1:13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</row>
    <row r="107" spans="1:13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</row>
    <row r="108" spans="1:13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</row>
    <row r="109" spans="1:13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</row>
    <row r="110" spans="1:13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</row>
    <row r="111" spans="1:13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</row>
    <row r="112" spans="1:13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</row>
    <row r="113" spans="1:13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</row>
    <row r="114" spans="1:13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</row>
    <row r="115" spans="1:13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</row>
    <row r="116" spans="1:13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</row>
    <row r="117" spans="1:13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</row>
    <row r="118" spans="1:13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</row>
    <row r="119" spans="1:13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</row>
    <row r="120" spans="1:13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</row>
    <row r="121" spans="1:13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</row>
    <row r="122" spans="1:13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</row>
    <row r="123" spans="1:13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</row>
    <row r="124" spans="1:13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</row>
    <row r="125" spans="1:13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</row>
    <row r="126" spans="1:13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</row>
    <row r="127" spans="1:13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</row>
    <row r="128" spans="1:13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</row>
    <row r="129" spans="1:13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</row>
    <row r="130" spans="1:13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</row>
    <row r="131" spans="1:13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</row>
    <row r="132" spans="1:13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</row>
    <row r="133" spans="1:13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</row>
    <row r="134" spans="1:13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</row>
  </sheetData>
  <mergeCells count="19">
    <mergeCell ref="B45:D45"/>
    <mergeCell ref="A47:F47"/>
    <mergeCell ref="B24:D24"/>
    <mergeCell ref="B26:D26"/>
    <mergeCell ref="B27:D27"/>
    <mergeCell ref="B29:D29"/>
    <mergeCell ref="B35:D35"/>
    <mergeCell ref="B15:D15"/>
    <mergeCell ref="B18:D18"/>
    <mergeCell ref="B19:D19"/>
    <mergeCell ref="B21:D21"/>
    <mergeCell ref="B23:D23"/>
    <mergeCell ref="A5:K5"/>
    <mergeCell ref="A13:A14"/>
    <mergeCell ref="B13:D14"/>
    <mergeCell ref="E13:E14"/>
    <mergeCell ref="F13:F14"/>
    <mergeCell ref="G13:H13"/>
    <mergeCell ref="I13:J13"/>
  </mergeCells>
  <pageMargins left="0.39370078740157483" right="0.39370078740157483" top="0.98425196850393704" bottom="0.78740157480314965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topLeftCell="A22" zoomScale="75" zoomScaleNormal="75" workbookViewId="0">
      <selection activeCell="K29" sqref="K29"/>
    </sheetView>
  </sheetViews>
  <sheetFormatPr defaultRowHeight="12.75" x14ac:dyDescent="0.25"/>
  <cols>
    <col min="1" max="1" width="7.28515625" style="2" customWidth="1"/>
    <col min="2" max="2" width="2.42578125" style="2" customWidth="1"/>
    <col min="3" max="3" width="26.85546875" style="2" customWidth="1"/>
    <col min="4" max="4" width="17.7109375" style="2" customWidth="1"/>
    <col min="5" max="5" width="6.85546875" style="2" customWidth="1"/>
    <col min="6" max="8" width="10.28515625" style="2" customWidth="1"/>
    <col min="9" max="9" width="13.85546875" style="2" customWidth="1"/>
    <col min="10" max="10" width="14.28515625" style="2" customWidth="1"/>
    <col min="11" max="11" width="15" style="2" bestFit="1" customWidth="1"/>
    <col min="12" max="12" width="12.140625" style="2" bestFit="1" customWidth="1"/>
    <col min="13" max="13" width="12.28515625" style="2" bestFit="1" customWidth="1"/>
    <col min="14" max="15" width="11" style="2" bestFit="1" customWidth="1"/>
    <col min="16" max="16384" width="9.140625" style="2"/>
  </cols>
  <sheetData>
    <row r="1" spans="1:12" x14ac:dyDescent="0.25">
      <c r="A1" s="20" t="s">
        <v>26</v>
      </c>
    </row>
    <row r="2" spans="1:12" x14ac:dyDescent="0.25">
      <c r="A2" s="20" t="s">
        <v>27</v>
      </c>
    </row>
    <row r="3" spans="1:12" x14ac:dyDescent="0.25">
      <c r="A3" s="20"/>
    </row>
    <row r="4" spans="1:12" x14ac:dyDescent="0.25">
      <c r="A4" s="20"/>
    </row>
    <row r="5" spans="1:12" ht="15" customHeight="1" x14ac:dyDescent="0.25">
      <c r="A5" s="91" t="s">
        <v>78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2" ht="15" customHeight="1" x14ac:dyDescent="0.2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</row>
    <row r="7" spans="1:12" ht="15" customHeight="1" x14ac:dyDescent="0.25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1:12" x14ac:dyDescent="0.25">
      <c r="A8" s="2" t="s">
        <v>7</v>
      </c>
    </row>
    <row r="9" spans="1:12" x14ac:dyDescent="0.25">
      <c r="A9" s="2" t="s">
        <v>28</v>
      </c>
      <c r="B9" s="2" t="s">
        <v>103</v>
      </c>
      <c r="L9" s="16"/>
    </row>
    <row r="10" spans="1:12" x14ac:dyDescent="0.25">
      <c r="A10" s="2" t="s">
        <v>99</v>
      </c>
      <c r="F10" s="2" t="s">
        <v>24</v>
      </c>
      <c r="G10" s="78">
        <v>144.62</v>
      </c>
      <c r="H10" s="2" t="s">
        <v>23</v>
      </c>
      <c r="I10" s="18"/>
      <c r="J10" s="18"/>
    </row>
    <row r="11" spans="1:12" s="27" customFormat="1" ht="12" customHeight="1" x14ac:dyDescent="0.25">
      <c r="A11" s="27" t="s">
        <v>20</v>
      </c>
      <c r="F11" s="2" t="s">
        <v>25</v>
      </c>
      <c r="G11" s="16">
        <v>2195.4</v>
      </c>
      <c r="H11" s="2" t="s">
        <v>0</v>
      </c>
      <c r="I11" s="18"/>
      <c r="J11" s="18"/>
      <c r="K11" s="2"/>
    </row>
    <row r="12" spans="1:12" ht="12" customHeight="1" x14ac:dyDescent="0.25">
      <c r="A12" s="27"/>
      <c r="B12" s="27"/>
      <c r="C12" s="27"/>
      <c r="D12" s="27"/>
      <c r="E12" s="5"/>
      <c r="F12" s="5"/>
      <c r="G12" s="27"/>
      <c r="H12" s="27"/>
      <c r="I12" s="27"/>
      <c r="J12" s="27"/>
    </row>
    <row r="13" spans="1:12" x14ac:dyDescent="0.25">
      <c r="A13" s="92" t="s">
        <v>3</v>
      </c>
      <c r="B13" s="92" t="s">
        <v>1</v>
      </c>
      <c r="C13" s="92"/>
      <c r="D13" s="92"/>
      <c r="E13" s="92" t="s">
        <v>2</v>
      </c>
      <c r="F13" s="92" t="s">
        <v>29</v>
      </c>
      <c r="G13" s="92" t="s">
        <v>83</v>
      </c>
      <c r="H13" s="92"/>
      <c r="I13" s="92" t="s">
        <v>84</v>
      </c>
      <c r="J13" s="92"/>
      <c r="K13" s="4" t="s">
        <v>21</v>
      </c>
    </row>
    <row r="14" spans="1:12" x14ac:dyDescent="0.25">
      <c r="A14" s="92"/>
      <c r="B14" s="92"/>
      <c r="C14" s="92"/>
      <c r="D14" s="92"/>
      <c r="E14" s="92"/>
      <c r="F14" s="92"/>
      <c r="G14" s="4" t="s">
        <v>82</v>
      </c>
      <c r="H14" s="4" t="s">
        <v>81</v>
      </c>
      <c r="I14" s="4" t="s">
        <v>82</v>
      </c>
      <c r="J14" s="4" t="s">
        <v>81</v>
      </c>
      <c r="K14" s="4" t="s">
        <v>22</v>
      </c>
    </row>
    <row r="15" spans="1:12" ht="13.5" customHeight="1" x14ac:dyDescent="0.25">
      <c r="A15" s="6"/>
      <c r="B15" s="99"/>
      <c r="C15" s="100"/>
      <c r="D15" s="100"/>
      <c r="E15" s="7"/>
      <c r="F15" s="8"/>
      <c r="G15" s="13"/>
      <c r="H15" s="13"/>
      <c r="I15" s="13"/>
      <c r="J15" s="13"/>
      <c r="K15" s="43"/>
    </row>
    <row r="16" spans="1:12" ht="13.5" customHeight="1" x14ac:dyDescent="0.25">
      <c r="A16" s="9" t="s">
        <v>5</v>
      </c>
      <c r="B16" s="10" t="s">
        <v>4</v>
      </c>
      <c r="C16" s="11"/>
      <c r="D16" s="11"/>
      <c r="E16" s="12"/>
      <c r="F16" s="13"/>
      <c r="G16" s="13"/>
      <c r="H16" s="13"/>
      <c r="I16" s="13"/>
      <c r="J16" s="13"/>
      <c r="K16" s="51"/>
    </row>
    <row r="17" spans="1:13" ht="13.5" customHeight="1" x14ac:dyDescent="0.25">
      <c r="A17" s="12" t="s">
        <v>45</v>
      </c>
      <c r="B17" s="66" t="s">
        <v>79</v>
      </c>
      <c r="C17" s="11"/>
      <c r="D17" s="11"/>
      <c r="E17" s="79" t="s">
        <v>0</v>
      </c>
      <c r="F17" s="13">
        <f>G11</f>
        <v>2195.4</v>
      </c>
      <c r="G17" s="13">
        <f>'ORC GLOBAL'!I18</f>
        <v>0.13999999999999999</v>
      </c>
      <c r="H17" s="13">
        <f>'ORC GLOBAL'!J18</f>
        <v>0.55999999999999994</v>
      </c>
      <c r="I17" s="13">
        <f t="shared" ref="I17:I23" si="0">TRUNC(F17*G17,2)</f>
        <v>307.35000000000002</v>
      </c>
      <c r="J17" s="13">
        <f t="shared" ref="J17:J23" si="1">TRUNC(F17*H17,2)</f>
        <v>1229.42</v>
      </c>
      <c r="K17" s="52">
        <f>TRUNC(I17+J17,2)</f>
        <v>1536.77</v>
      </c>
      <c r="L17" s="78"/>
      <c r="M17" s="80"/>
    </row>
    <row r="18" spans="1:13" ht="13.5" customHeight="1" x14ac:dyDescent="0.25">
      <c r="A18" s="12" t="s">
        <v>46</v>
      </c>
      <c r="B18" s="93" t="s">
        <v>73</v>
      </c>
      <c r="C18" s="94"/>
      <c r="D18" s="94"/>
      <c r="E18" s="60" t="s">
        <v>64</v>
      </c>
      <c r="F18" s="13"/>
      <c r="G18" s="13">
        <f>'ORC GLOBAL'!I19</f>
        <v>0</v>
      </c>
      <c r="H18" s="13">
        <f>'ORC GLOBAL'!J19</f>
        <v>0</v>
      </c>
      <c r="I18" s="13">
        <f t="shared" si="0"/>
        <v>0</v>
      </c>
      <c r="J18" s="13">
        <f t="shared" si="1"/>
        <v>0</v>
      </c>
      <c r="K18" s="52">
        <f t="shared" ref="K18:K42" si="2">TRUNC(I18+J18,2)</f>
        <v>0</v>
      </c>
      <c r="L18" s="78"/>
      <c r="M18" s="80"/>
    </row>
    <row r="19" spans="1:13" ht="13.5" customHeight="1" x14ac:dyDescent="0.25">
      <c r="A19" s="12" t="s">
        <v>47</v>
      </c>
      <c r="B19" s="93" t="s">
        <v>31</v>
      </c>
      <c r="C19" s="94"/>
      <c r="D19" s="94"/>
      <c r="E19" s="60" t="s">
        <v>64</v>
      </c>
      <c r="F19" s="13"/>
      <c r="G19" s="13">
        <f>'ORC GLOBAL'!I20</f>
        <v>0</v>
      </c>
      <c r="H19" s="13">
        <f>'ORC GLOBAL'!J20</f>
        <v>0</v>
      </c>
      <c r="I19" s="13">
        <f t="shared" si="0"/>
        <v>0</v>
      </c>
      <c r="J19" s="13">
        <f t="shared" si="1"/>
        <v>0</v>
      </c>
      <c r="K19" s="52">
        <f t="shared" si="2"/>
        <v>0</v>
      </c>
      <c r="L19" s="78"/>
      <c r="M19" s="80"/>
    </row>
    <row r="20" spans="1:13" ht="13.5" customHeight="1" x14ac:dyDescent="0.25">
      <c r="A20" s="12" t="s">
        <v>48</v>
      </c>
      <c r="B20" s="14" t="s">
        <v>30</v>
      </c>
      <c r="C20" s="15"/>
      <c r="D20" s="15"/>
      <c r="E20" s="12" t="s">
        <v>0</v>
      </c>
      <c r="F20" s="13">
        <f>F17</f>
        <v>2195.4</v>
      </c>
      <c r="G20" s="13">
        <f>'ORC GLOBAL'!I21</f>
        <v>1.08</v>
      </c>
      <c r="H20" s="13">
        <f>'ORC GLOBAL'!J21</f>
        <v>0.27</v>
      </c>
      <c r="I20" s="13">
        <f t="shared" si="0"/>
        <v>2371.0300000000002</v>
      </c>
      <c r="J20" s="13">
        <f t="shared" si="1"/>
        <v>592.75</v>
      </c>
      <c r="K20" s="52">
        <f t="shared" si="2"/>
        <v>2963.78</v>
      </c>
      <c r="L20" s="78"/>
      <c r="M20" s="80"/>
    </row>
    <row r="21" spans="1:13" ht="13.5" customHeight="1" x14ac:dyDescent="0.25">
      <c r="A21" s="12" t="s">
        <v>49</v>
      </c>
      <c r="B21" s="93" t="s">
        <v>71</v>
      </c>
      <c r="C21" s="94"/>
      <c r="D21" s="94"/>
      <c r="E21" s="12" t="s">
        <v>64</v>
      </c>
      <c r="F21" s="13">
        <f>F20*0.04</f>
        <v>87.816000000000003</v>
      </c>
      <c r="G21" s="13">
        <f>'ORC GLOBAL'!I22</f>
        <v>480</v>
      </c>
      <c r="H21" s="13">
        <f>'ORC GLOBAL'!J22</f>
        <v>120</v>
      </c>
      <c r="I21" s="13">
        <f t="shared" si="0"/>
        <v>42151.68</v>
      </c>
      <c r="J21" s="13">
        <f t="shared" si="1"/>
        <v>10537.92</v>
      </c>
      <c r="K21" s="52">
        <f t="shared" si="2"/>
        <v>52689.599999999999</v>
      </c>
      <c r="L21" s="78"/>
      <c r="M21" s="80"/>
    </row>
    <row r="22" spans="1:13" ht="13.5" customHeight="1" x14ac:dyDescent="0.25">
      <c r="A22" s="12" t="s">
        <v>50</v>
      </c>
      <c r="B22" s="14" t="s">
        <v>30</v>
      </c>
      <c r="C22" s="15"/>
      <c r="D22" s="15"/>
      <c r="E22" s="12" t="s">
        <v>0</v>
      </c>
      <c r="F22" s="13">
        <f>F20</f>
        <v>2195.4</v>
      </c>
      <c r="G22" s="13">
        <f>'ORC GLOBAL'!I23</f>
        <v>1.08</v>
      </c>
      <c r="H22" s="13">
        <f>'ORC GLOBAL'!J23</f>
        <v>0.27</v>
      </c>
      <c r="I22" s="13">
        <f t="shared" si="0"/>
        <v>2371.0300000000002</v>
      </c>
      <c r="J22" s="13">
        <f t="shared" si="1"/>
        <v>592.75</v>
      </c>
      <c r="K22" s="52">
        <f t="shared" si="2"/>
        <v>2963.78</v>
      </c>
      <c r="L22" s="78"/>
      <c r="M22" s="80"/>
    </row>
    <row r="23" spans="1:13" ht="13.5" customHeight="1" x14ac:dyDescent="0.25">
      <c r="A23" s="12" t="s">
        <v>80</v>
      </c>
      <c r="B23" s="93" t="s">
        <v>72</v>
      </c>
      <c r="C23" s="94"/>
      <c r="D23" s="94"/>
      <c r="E23" s="12" t="s">
        <v>64</v>
      </c>
      <c r="F23" s="13">
        <f>F22*0.04</f>
        <v>87.816000000000003</v>
      </c>
      <c r="G23" s="13">
        <f>'ORC GLOBAL'!I24</f>
        <v>480</v>
      </c>
      <c r="H23" s="13">
        <f>'ORC GLOBAL'!J24</f>
        <v>120</v>
      </c>
      <c r="I23" s="13">
        <f t="shared" si="0"/>
        <v>42151.68</v>
      </c>
      <c r="J23" s="13">
        <f t="shared" si="1"/>
        <v>10537.92</v>
      </c>
      <c r="K23" s="52">
        <f t="shared" si="2"/>
        <v>52689.599999999999</v>
      </c>
      <c r="L23" s="78"/>
      <c r="M23" s="80"/>
    </row>
    <row r="24" spans="1:13" ht="13.5" customHeight="1" x14ac:dyDescent="0.25">
      <c r="A24" s="12"/>
      <c r="B24" s="95" t="s">
        <v>66</v>
      </c>
      <c r="C24" s="96"/>
      <c r="D24" s="96"/>
      <c r="E24" s="61"/>
      <c r="F24" s="13"/>
      <c r="G24" s="13">
        <f>'ORC GLOBAL'!I25</f>
        <v>0</v>
      </c>
      <c r="H24" s="13">
        <f>'ORC GLOBAL'!J25</f>
        <v>0</v>
      </c>
      <c r="I24" s="84">
        <f>SUM(I17:I23)</f>
        <v>89352.76999999999</v>
      </c>
      <c r="J24" s="84">
        <f>SUM(J17:J23)</f>
        <v>23490.760000000002</v>
      </c>
      <c r="K24" s="84">
        <f>SUM(K17:K23)</f>
        <v>112843.53</v>
      </c>
      <c r="L24" s="78"/>
      <c r="M24" s="80"/>
    </row>
    <row r="25" spans="1:13" ht="13.5" customHeight="1" x14ac:dyDescent="0.25">
      <c r="A25" s="12"/>
      <c r="B25" s="58"/>
      <c r="C25" s="59"/>
      <c r="D25" s="59"/>
      <c r="E25" s="61"/>
      <c r="F25" s="13"/>
      <c r="G25" s="13">
        <f>'ORC GLOBAL'!I26</f>
        <v>0</v>
      </c>
      <c r="H25" s="13">
        <f>'ORC GLOBAL'!J26</f>
        <v>0</v>
      </c>
      <c r="I25" s="13"/>
      <c r="J25" s="13"/>
      <c r="K25" s="52"/>
      <c r="L25" s="78"/>
      <c r="M25" s="80"/>
    </row>
    <row r="26" spans="1:13" ht="13.5" customHeight="1" x14ac:dyDescent="0.25">
      <c r="A26" s="9" t="s">
        <v>51</v>
      </c>
      <c r="B26" s="101" t="s">
        <v>33</v>
      </c>
      <c r="C26" s="102"/>
      <c r="D26" s="102"/>
      <c r="E26" s="61"/>
      <c r="F26" s="13"/>
      <c r="G26" s="13">
        <f>'ORC GLOBAL'!I27</f>
        <v>0</v>
      </c>
      <c r="H26" s="13">
        <f>'ORC GLOBAL'!J27</f>
        <v>0</v>
      </c>
      <c r="I26" s="13"/>
      <c r="J26" s="13"/>
      <c r="K26" s="52"/>
      <c r="L26" s="78"/>
      <c r="M26" s="80"/>
    </row>
    <row r="27" spans="1:13" ht="13.5" customHeight="1" x14ac:dyDescent="0.25">
      <c r="A27" s="12" t="s">
        <v>52</v>
      </c>
      <c r="B27" s="93" t="s">
        <v>32</v>
      </c>
      <c r="C27" s="94"/>
      <c r="D27" s="94"/>
      <c r="E27" s="61" t="s">
        <v>64</v>
      </c>
      <c r="F27" s="13">
        <f>(F30+F31)*1.5*0.6</f>
        <v>61.199999999999996</v>
      </c>
      <c r="G27" s="13">
        <f>'ORC GLOBAL'!I28</f>
        <v>9.6839999999999993</v>
      </c>
      <c r="H27" s="13">
        <f>'ORC GLOBAL'!J28</f>
        <v>6.4560000000000013</v>
      </c>
      <c r="I27" s="13">
        <f t="shared" ref="I27:I34" si="3">TRUNC(F27*G27,2)</f>
        <v>592.66</v>
      </c>
      <c r="J27" s="13">
        <f t="shared" ref="J27:J34" si="4">TRUNC(F27*H27,2)</f>
        <v>395.1</v>
      </c>
      <c r="K27" s="52">
        <f t="shared" si="2"/>
        <v>987.76</v>
      </c>
      <c r="L27" s="78"/>
      <c r="M27" s="80"/>
    </row>
    <row r="28" spans="1:13" ht="13.5" customHeight="1" x14ac:dyDescent="0.25">
      <c r="A28" s="12" t="s">
        <v>76</v>
      </c>
      <c r="B28" s="58" t="s">
        <v>38</v>
      </c>
      <c r="C28" s="59"/>
      <c r="D28" s="59"/>
      <c r="E28" s="62" t="s">
        <v>23</v>
      </c>
      <c r="F28" s="13"/>
      <c r="G28" s="13">
        <f>'ORC GLOBAL'!I29</f>
        <v>13.456000000000001</v>
      </c>
      <c r="H28" s="13">
        <f>'ORC GLOBAL'!J29</f>
        <v>3.363999999999999</v>
      </c>
      <c r="I28" s="13">
        <f t="shared" si="3"/>
        <v>0</v>
      </c>
      <c r="J28" s="13">
        <f t="shared" si="4"/>
        <v>0</v>
      </c>
      <c r="K28" s="52">
        <f t="shared" si="2"/>
        <v>0</v>
      </c>
      <c r="L28" s="78"/>
      <c r="M28" s="80"/>
    </row>
    <row r="29" spans="1:13" ht="13.5" customHeight="1" x14ac:dyDescent="0.25">
      <c r="A29" s="12" t="s">
        <v>53</v>
      </c>
      <c r="B29" s="93" t="s">
        <v>35</v>
      </c>
      <c r="C29" s="94"/>
      <c r="D29" s="94"/>
      <c r="E29" s="62" t="s">
        <v>64</v>
      </c>
      <c r="F29" s="13">
        <f>(F27*1.3)-((F30+F31)*0.4*0.4)</f>
        <v>68.680000000000007</v>
      </c>
      <c r="G29" s="13">
        <f>'ORC GLOBAL'!I30</f>
        <v>3.7439999999999998</v>
      </c>
      <c r="H29" s="13">
        <f>'ORC GLOBAL'!J30</f>
        <v>0.93599999999999994</v>
      </c>
      <c r="I29" s="13">
        <f t="shared" si="3"/>
        <v>257.13</v>
      </c>
      <c r="J29" s="13">
        <f t="shared" si="4"/>
        <v>64.28</v>
      </c>
      <c r="K29" s="52">
        <f t="shared" si="2"/>
        <v>321.41000000000003</v>
      </c>
      <c r="L29" s="78"/>
      <c r="M29" s="80"/>
    </row>
    <row r="30" spans="1:13" ht="13.5" customHeight="1" x14ac:dyDescent="0.25">
      <c r="A30" s="12" t="s">
        <v>77</v>
      </c>
      <c r="B30" s="63" t="s">
        <v>34</v>
      </c>
      <c r="C30" s="64"/>
      <c r="D30" s="64"/>
      <c r="E30" s="60" t="s">
        <v>23</v>
      </c>
      <c r="F30" s="13">
        <v>26</v>
      </c>
      <c r="G30" s="13">
        <f>'ORC GLOBAL'!I31</f>
        <v>36.4</v>
      </c>
      <c r="H30" s="13">
        <f>'ORC GLOBAL'!J31</f>
        <v>9.1000000000000014</v>
      </c>
      <c r="I30" s="13">
        <f t="shared" si="3"/>
        <v>946.4</v>
      </c>
      <c r="J30" s="13">
        <f t="shared" si="4"/>
        <v>236.6</v>
      </c>
      <c r="K30" s="52">
        <f t="shared" si="2"/>
        <v>1183</v>
      </c>
      <c r="L30" s="78"/>
      <c r="M30" s="80"/>
    </row>
    <row r="31" spans="1:13" ht="13.5" customHeight="1" x14ac:dyDescent="0.25">
      <c r="A31" s="12" t="s">
        <v>54</v>
      </c>
      <c r="B31" s="63" t="s">
        <v>37</v>
      </c>
      <c r="C31" s="64"/>
      <c r="D31" s="64"/>
      <c r="E31" s="60" t="s">
        <v>23</v>
      </c>
      <c r="F31" s="13">
        <v>42</v>
      </c>
      <c r="G31" s="13">
        <f>'ORC GLOBAL'!I32</f>
        <v>44.800000000000004</v>
      </c>
      <c r="H31" s="13">
        <f>'ORC GLOBAL'!J32</f>
        <v>11.199999999999996</v>
      </c>
      <c r="I31" s="13">
        <f t="shared" si="3"/>
        <v>1881.6</v>
      </c>
      <c r="J31" s="13">
        <f t="shared" si="4"/>
        <v>470.4</v>
      </c>
      <c r="K31" s="52">
        <f t="shared" si="2"/>
        <v>2352</v>
      </c>
      <c r="L31" s="78"/>
      <c r="M31" s="80"/>
    </row>
    <row r="32" spans="1:13" ht="13.5" customHeight="1" x14ac:dyDescent="0.25">
      <c r="A32" s="12" t="s">
        <v>55</v>
      </c>
      <c r="B32" s="63" t="s">
        <v>75</v>
      </c>
      <c r="C32" s="64"/>
      <c r="D32" s="64"/>
      <c r="E32" s="60" t="s">
        <v>23</v>
      </c>
      <c r="F32" s="13"/>
      <c r="G32" s="13">
        <f>'ORC GLOBAL'!I33</f>
        <v>56</v>
      </c>
      <c r="H32" s="13">
        <f>'ORC GLOBAL'!J33</f>
        <v>14</v>
      </c>
      <c r="I32" s="13">
        <f t="shared" si="3"/>
        <v>0</v>
      </c>
      <c r="J32" s="13">
        <f t="shared" si="4"/>
        <v>0</v>
      </c>
      <c r="K32" s="52">
        <f t="shared" si="2"/>
        <v>0</v>
      </c>
      <c r="L32" s="78"/>
      <c r="M32" s="80"/>
    </row>
    <row r="33" spans="1:15" ht="13.5" customHeight="1" x14ac:dyDescent="0.25">
      <c r="A33" s="12" t="s">
        <v>56</v>
      </c>
      <c r="B33" s="66" t="s">
        <v>36</v>
      </c>
      <c r="C33" s="64"/>
      <c r="D33" s="64"/>
      <c r="E33" s="12" t="s">
        <v>65</v>
      </c>
      <c r="F33" s="13">
        <v>4</v>
      </c>
      <c r="G33" s="13">
        <f>'ORC GLOBAL'!I34</f>
        <v>552.03200000000004</v>
      </c>
      <c r="H33" s="13">
        <f>'ORC GLOBAL'!J34</f>
        <v>138.00799999999992</v>
      </c>
      <c r="I33" s="13">
        <f t="shared" si="3"/>
        <v>2208.12</v>
      </c>
      <c r="J33" s="13">
        <f t="shared" si="4"/>
        <v>552.03</v>
      </c>
      <c r="K33" s="52">
        <f t="shared" si="2"/>
        <v>2760.15</v>
      </c>
      <c r="L33" s="78"/>
      <c r="M33" s="80"/>
      <c r="N33" s="78"/>
    </row>
    <row r="34" spans="1:15" ht="13.5" customHeight="1" x14ac:dyDescent="0.25">
      <c r="A34" s="12" t="s">
        <v>57</v>
      </c>
      <c r="B34" s="66" t="s">
        <v>74</v>
      </c>
      <c r="C34" s="17"/>
      <c r="D34" s="17"/>
      <c r="E34" s="12" t="s">
        <v>65</v>
      </c>
      <c r="F34" s="13"/>
      <c r="G34" s="13">
        <f>'ORC GLOBAL'!I35</f>
        <v>662.4384</v>
      </c>
      <c r="H34" s="13">
        <f>'ORC GLOBAL'!J35</f>
        <v>165.60959999999989</v>
      </c>
      <c r="I34" s="13">
        <f t="shared" si="3"/>
        <v>0</v>
      </c>
      <c r="J34" s="13">
        <f t="shared" si="4"/>
        <v>0</v>
      </c>
      <c r="K34" s="52">
        <f t="shared" si="2"/>
        <v>0</v>
      </c>
      <c r="L34" s="78"/>
      <c r="M34" s="80"/>
    </row>
    <row r="35" spans="1:15" ht="13.5" customHeight="1" x14ac:dyDescent="0.25">
      <c r="A35" s="12"/>
      <c r="B35" s="95" t="s">
        <v>67</v>
      </c>
      <c r="C35" s="96"/>
      <c r="D35" s="96"/>
      <c r="E35" s="12"/>
      <c r="F35" s="13"/>
      <c r="G35" s="13">
        <f>'ORC GLOBAL'!I36</f>
        <v>0</v>
      </c>
      <c r="H35" s="13">
        <f>'ORC GLOBAL'!J36</f>
        <v>0</v>
      </c>
      <c r="I35" s="84">
        <f>SUM(I27:I34)</f>
        <v>5885.91</v>
      </c>
      <c r="J35" s="84">
        <f>SUM(J27:J34)</f>
        <v>1718.41</v>
      </c>
      <c r="K35" s="84">
        <f>SUM(K27:K34)</f>
        <v>7604.32</v>
      </c>
      <c r="L35" s="78"/>
      <c r="M35" s="80"/>
    </row>
    <row r="36" spans="1:15" ht="13.5" customHeight="1" x14ac:dyDescent="0.25">
      <c r="A36" s="12"/>
      <c r="B36" s="66"/>
      <c r="C36" s="17"/>
      <c r="D36" s="17"/>
      <c r="E36" s="12"/>
      <c r="F36" s="13"/>
      <c r="G36" s="13">
        <f>'ORC GLOBAL'!I37</f>
        <v>0</v>
      </c>
      <c r="H36" s="13">
        <f>'ORC GLOBAL'!J37</f>
        <v>0</v>
      </c>
      <c r="I36" s="13"/>
      <c r="J36" s="13"/>
      <c r="K36" s="52"/>
      <c r="L36" s="78"/>
      <c r="M36" s="80"/>
    </row>
    <row r="37" spans="1:15" ht="13.5" customHeight="1" x14ac:dyDescent="0.25">
      <c r="A37" s="9" t="s">
        <v>58</v>
      </c>
      <c r="B37" s="10" t="s">
        <v>39</v>
      </c>
      <c r="C37" s="17"/>
      <c r="D37" s="17"/>
      <c r="E37" s="12"/>
      <c r="F37" s="13"/>
      <c r="G37" s="13">
        <f>'ORC GLOBAL'!I38</f>
        <v>0</v>
      </c>
      <c r="H37" s="13">
        <f>'ORC GLOBAL'!J38</f>
        <v>0</v>
      </c>
      <c r="I37" s="13"/>
      <c r="J37" s="13"/>
      <c r="K37" s="52"/>
      <c r="L37" s="78"/>
      <c r="M37" s="80"/>
    </row>
    <row r="38" spans="1:15" ht="13.5" customHeight="1" x14ac:dyDescent="0.25">
      <c r="A38" s="12" t="s">
        <v>59</v>
      </c>
      <c r="B38" s="66" t="s">
        <v>40</v>
      </c>
      <c r="C38" s="17"/>
      <c r="D38" s="17"/>
      <c r="E38" s="12" t="s">
        <v>0</v>
      </c>
      <c r="F38" s="13">
        <f>144*0.1*2</f>
        <v>28.8</v>
      </c>
      <c r="G38" s="13">
        <f>'ORC GLOBAL'!I39</f>
        <v>13.984000000000002</v>
      </c>
      <c r="H38" s="13">
        <f>'ORC GLOBAL'!J39</f>
        <v>3.4959999999999987</v>
      </c>
      <c r="I38" s="13">
        <f t="shared" ref="I38:I44" si="5">TRUNC(F38*G38,2)</f>
        <v>402.73</v>
      </c>
      <c r="J38" s="13">
        <f t="shared" ref="J38:J44" si="6">TRUNC(F38*H38,2)</f>
        <v>100.68</v>
      </c>
      <c r="K38" s="52">
        <f t="shared" si="2"/>
        <v>503.41</v>
      </c>
      <c r="L38" s="78"/>
      <c r="M38" s="80"/>
    </row>
    <row r="39" spans="1:15" ht="13.5" customHeight="1" x14ac:dyDescent="0.25">
      <c r="A39" s="12" t="s">
        <v>60</v>
      </c>
      <c r="B39" s="66" t="s">
        <v>41</v>
      </c>
      <c r="C39" s="17"/>
      <c r="D39" s="17"/>
      <c r="E39" s="12" t="s">
        <v>0</v>
      </c>
      <c r="F39" s="13">
        <f>144*0.2</f>
        <v>28.8</v>
      </c>
      <c r="G39" s="13">
        <f>'ORC GLOBAL'!I40</f>
        <v>13.984000000000002</v>
      </c>
      <c r="H39" s="13">
        <f>'ORC GLOBAL'!J40</f>
        <v>3.4959999999999987</v>
      </c>
      <c r="I39" s="13">
        <f t="shared" si="5"/>
        <v>402.73</v>
      </c>
      <c r="J39" s="13">
        <f t="shared" si="6"/>
        <v>100.68</v>
      </c>
      <c r="K39" s="52">
        <f t="shared" si="2"/>
        <v>503.41</v>
      </c>
      <c r="L39" s="78"/>
      <c r="M39" s="80"/>
    </row>
    <row r="40" spans="1:15" ht="13.5" customHeight="1" x14ac:dyDescent="0.25">
      <c r="A40" s="12" t="s">
        <v>61</v>
      </c>
      <c r="B40" s="66" t="s">
        <v>42</v>
      </c>
      <c r="C40" s="17"/>
      <c r="D40" s="17"/>
      <c r="E40" s="12" t="s">
        <v>0</v>
      </c>
      <c r="F40" s="13">
        <f>(2.5*15/2*2)</f>
        <v>37.5</v>
      </c>
      <c r="G40" s="13">
        <f>'ORC GLOBAL'!I41</f>
        <v>13.984000000000002</v>
      </c>
      <c r="H40" s="13">
        <f>'ORC GLOBAL'!J41</f>
        <v>3.4959999999999987</v>
      </c>
      <c r="I40" s="13">
        <f t="shared" si="5"/>
        <v>524.4</v>
      </c>
      <c r="J40" s="13">
        <f t="shared" si="6"/>
        <v>131.1</v>
      </c>
      <c r="K40" s="52">
        <f t="shared" si="2"/>
        <v>655.5</v>
      </c>
      <c r="L40" s="78"/>
      <c r="M40" s="80"/>
    </row>
    <row r="41" spans="1:15" ht="13.5" customHeight="1" x14ac:dyDescent="0.25">
      <c r="A41" s="12" t="s">
        <v>62</v>
      </c>
      <c r="B41" s="66" t="s">
        <v>43</v>
      </c>
      <c r="C41" s="17"/>
      <c r="D41" s="17"/>
      <c r="E41" s="12" t="s">
        <v>65</v>
      </c>
      <c r="F41" s="13">
        <v>0</v>
      </c>
      <c r="G41" s="13">
        <f>'ORC GLOBAL'!I42</f>
        <v>154.80000000000001</v>
      </c>
      <c r="H41" s="13">
        <f>'ORC GLOBAL'!J42</f>
        <v>38.699999999999989</v>
      </c>
      <c r="I41" s="13">
        <f t="shared" si="5"/>
        <v>0</v>
      </c>
      <c r="J41" s="13">
        <f t="shared" si="6"/>
        <v>0</v>
      </c>
      <c r="K41" s="52">
        <f t="shared" si="2"/>
        <v>0</v>
      </c>
      <c r="L41" s="78"/>
      <c r="M41" s="80"/>
    </row>
    <row r="42" spans="1:15" ht="13.5" customHeight="1" x14ac:dyDescent="0.25">
      <c r="A42" s="12" t="s">
        <v>63</v>
      </c>
      <c r="B42" s="66" t="s">
        <v>70</v>
      </c>
      <c r="C42" s="17"/>
      <c r="D42" s="17"/>
      <c r="E42" s="12" t="s">
        <v>65</v>
      </c>
      <c r="F42" s="13">
        <v>1</v>
      </c>
      <c r="G42" s="13">
        <f>'ORC GLOBAL'!I43</f>
        <v>154.80000000000001</v>
      </c>
      <c r="H42" s="13">
        <f>'ORC GLOBAL'!J43</f>
        <v>38.699999999999989</v>
      </c>
      <c r="I42" s="13">
        <f t="shared" si="5"/>
        <v>154.80000000000001</v>
      </c>
      <c r="J42" s="13">
        <f t="shared" si="6"/>
        <v>38.700000000000003</v>
      </c>
      <c r="K42" s="52">
        <f t="shared" si="2"/>
        <v>193.5</v>
      </c>
      <c r="L42" s="78"/>
      <c r="M42" s="80"/>
    </row>
    <row r="43" spans="1:15" ht="13.5" customHeight="1" x14ac:dyDescent="0.25">
      <c r="A43" s="12" t="s">
        <v>69</v>
      </c>
      <c r="B43" s="66" t="s">
        <v>44</v>
      </c>
      <c r="C43" s="17"/>
      <c r="D43" s="17"/>
      <c r="E43" s="12" t="s">
        <v>0</v>
      </c>
      <c r="F43" s="13"/>
      <c r="G43" s="13">
        <f>'ORC GLOBAL'!I44</f>
        <v>390.048</v>
      </c>
      <c r="H43" s="13">
        <f>'ORC GLOBAL'!J44</f>
        <v>97.512</v>
      </c>
      <c r="I43" s="13">
        <f t="shared" si="5"/>
        <v>0</v>
      </c>
      <c r="J43" s="13">
        <f t="shared" si="6"/>
        <v>0</v>
      </c>
      <c r="K43" s="52">
        <f>TRUNC(I43+J43,2)</f>
        <v>0</v>
      </c>
      <c r="L43" s="78"/>
      <c r="M43" s="80"/>
    </row>
    <row r="44" spans="1:15" ht="13.5" customHeight="1" x14ac:dyDescent="0.25">
      <c r="A44" s="12" t="s">
        <v>85</v>
      </c>
      <c r="B44" s="66" t="s">
        <v>86</v>
      </c>
      <c r="C44" s="17"/>
      <c r="D44" s="17"/>
      <c r="E44" s="12" t="s">
        <v>65</v>
      </c>
      <c r="F44" s="13">
        <v>4</v>
      </c>
      <c r="G44" s="13">
        <f>'ORC GLOBAL'!I45</f>
        <v>130.66199999999998</v>
      </c>
      <c r="H44" s="13">
        <f>'ORC GLOBAL'!J45</f>
        <v>55.998000000000019</v>
      </c>
      <c r="I44" s="13">
        <f t="shared" si="5"/>
        <v>522.64</v>
      </c>
      <c r="J44" s="13">
        <f t="shared" si="6"/>
        <v>223.99</v>
      </c>
      <c r="K44" s="52">
        <f>TRUNC(I44+J44,2)</f>
        <v>746.63</v>
      </c>
      <c r="L44" s="78"/>
      <c r="M44" s="80"/>
    </row>
    <row r="45" spans="1:15" ht="13.5" customHeight="1" x14ac:dyDescent="0.25">
      <c r="A45" s="12"/>
      <c r="B45" s="95" t="s">
        <v>68</v>
      </c>
      <c r="C45" s="96"/>
      <c r="D45" s="96"/>
      <c r="E45" s="12"/>
      <c r="F45" s="13"/>
      <c r="G45" s="13"/>
      <c r="H45" s="13"/>
      <c r="I45" s="84">
        <f>SUM(I38:I44)</f>
        <v>2007.3000000000002</v>
      </c>
      <c r="J45" s="84">
        <f>SUM(J38:J44)</f>
        <v>595.15000000000009</v>
      </c>
      <c r="K45" s="84">
        <f>SUM(K38:K44)</f>
        <v>2602.4500000000003</v>
      </c>
      <c r="L45" s="78"/>
      <c r="M45" s="80"/>
    </row>
    <row r="46" spans="1:15" x14ac:dyDescent="0.25">
      <c r="A46" s="21"/>
      <c r="B46" s="67"/>
      <c r="C46" s="68"/>
      <c r="D46" s="68"/>
      <c r="E46" s="21"/>
      <c r="F46" s="22"/>
      <c r="G46" s="83"/>
      <c r="H46" s="83"/>
      <c r="I46" s="83"/>
      <c r="J46" s="83"/>
      <c r="K46" s="53"/>
      <c r="L46" s="78"/>
      <c r="M46" s="80"/>
      <c r="N46" s="16"/>
      <c r="O46" s="16"/>
    </row>
    <row r="47" spans="1:15" ht="17.25" customHeight="1" x14ac:dyDescent="0.25">
      <c r="A47" s="97" t="s">
        <v>6</v>
      </c>
      <c r="B47" s="98"/>
      <c r="C47" s="98"/>
      <c r="D47" s="98"/>
      <c r="E47" s="98"/>
      <c r="F47" s="98"/>
      <c r="G47" s="82"/>
      <c r="H47" s="82"/>
      <c r="I47" s="85">
        <f>I45+I35+I24</f>
        <v>97245.98</v>
      </c>
      <c r="J47" s="85">
        <f>J45+J35+J24</f>
        <v>25804.320000000003</v>
      </c>
      <c r="K47" s="85">
        <f>K45+K35+K24</f>
        <v>123050.3</v>
      </c>
      <c r="L47" s="78"/>
      <c r="M47" s="80"/>
      <c r="N47" s="16"/>
      <c r="O47" s="16"/>
    </row>
    <row r="48" spans="1:15" s="20" customFormat="1" x14ac:dyDescent="0.25">
      <c r="A48" s="23"/>
      <c r="B48" s="23"/>
      <c r="C48" s="23"/>
      <c r="D48" s="24"/>
      <c r="E48" s="23"/>
      <c r="F48" s="23"/>
      <c r="G48" s="23"/>
      <c r="H48" s="23"/>
      <c r="I48" s="23"/>
      <c r="J48" s="23"/>
      <c r="K48" s="25"/>
      <c r="L48" s="25"/>
      <c r="M48" s="25"/>
      <c r="N48" s="19"/>
      <c r="O48" s="19"/>
    </row>
    <row r="49" spans="1:17" x14ac:dyDescent="0.25">
      <c r="A49" s="26"/>
      <c r="B49" s="27"/>
      <c r="C49" s="27"/>
      <c r="D49" s="27"/>
      <c r="E49" s="27"/>
      <c r="F49" s="28"/>
      <c r="G49" s="27"/>
      <c r="H49" s="27"/>
      <c r="I49" s="27"/>
      <c r="J49" s="27"/>
      <c r="K49" s="28"/>
      <c r="L49" s="28"/>
      <c r="M49" s="28"/>
      <c r="N49" s="16"/>
    </row>
    <row r="50" spans="1:17" s="20" customFormat="1" ht="12.75" customHeight="1" x14ac:dyDescent="0.3">
      <c r="A50" s="26"/>
      <c r="B50" s="23"/>
      <c r="C50" s="29"/>
      <c r="D50" s="24"/>
      <c r="E50" s="27"/>
      <c r="F50" s="28"/>
      <c r="G50" s="26"/>
      <c r="H50" s="26"/>
      <c r="I50" s="26"/>
      <c r="J50" s="26"/>
      <c r="K50" s="25"/>
      <c r="L50" s="28"/>
      <c r="M50" s="25"/>
      <c r="N50" s="19"/>
    </row>
    <row r="51" spans="1:17" x14ac:dyDescent="0.25">
      <c r="A51" s="26"/>
      <c r="B51" s="27"/>
      <c r="C51" s="27" t="s">
        <v>89</v>
      </c>
      <c r="D51" s="27"/>
      <c r="E51" s="27"/>
      <c r="F51" s="28"/>
      <c r="G51" s="23"/>
      <c r="H51" s="23"/>
      <c r="I51" s="26" t="s">
        <v>88</v>
      </c>
      <c r="J51" s="26"/>
      <c r="M51" s="28"/>
      <c r="N51" s="30"/>
      <c r="P51" s="18"/>
      <c r="Q51" s="16"/>
    </row>
    <row r="52" spans="1:17" x14ac:dyDescent="0.25">
      <c r="A52" s="27"/>
      <c r="B52" s="27"/>
      <c r="C52" s="27" t="s">
        <v>90</v>
      </c>
      <c r="D52" s="27"/>
      <c r="E52" s="27"/>
      <c r="F52" s="27"/>
      <c r="G52" s="26"/>
      <c r="H52" s="26"/>
      <c r="I52" s="27" t="s">
        <v>91</v>
      </c>
      <c r="J52" s="27"/>
      <c r="M52" s="28"/>
      <c r="N52" s="28"/>
      <c r="P52" s="16"/>
    </row>
    <row r="53" spans="1:17" x14ac:dyDescent="0.25">
      <c r="A53" s="26"/>
      <c r="B53" s="27"/>
      <c r="C53" s="27"/>
      <c r="D53" s="27"/>
      <c r="E53" s="27"/>
      <c r="F53" s="28"/>
      <c r="G53" s="24"/>
      <c r="H53" s="24"/>
      <c r="I53" s="24"/>
      <c r="J53" s="24"/>
      <c r="K53" s="28"/>
      <c r="L53" s="28"/>
      <c r="M53" s="30"/>
      <c r="O53" s="18"/>
      <c r="P53" s="16"/>
    </row>
    <row r="54" spans="1:17" x14ac:dyDescent="0.25">
      <c r="A54" s="26"/>
      <c r="B54" s="27"/>
      <c r="C54" s="27"/>
      <c r="D54" s="27"/>
      <c r="E54" s="27"/>
      <c r="F54" s="28"/>
      <c r="G54" s="23"/>
      <c r="H54" s="23"/>
      <c r="I54" s="23"/>
      <c r="J54" s="23"/>
      <c r="K54" s="28"/>
      <c r="L54" s="28"/>
      <c r="M54" s="30"/>
      <c r="O54" s="18"/>
      <c r="P54" s="16"/>
    </row>
    <row r="55" spans="1:17" x14ac:dyDescent="0.25">
      <c r="A55" s="27"/>
      <c r="B55" s="27"/>
      <c r="C55" s="27"/>
      <c r="D55" s="27"/>
      <c r="E55" s="27"/>
      <c r="F55" s="27"/>
      <c r="G55" s="26"/>
      <c r="H55" s="26"/>
      <c r="I55" s="26"/>
      <c r="J55" s="26"/>
      <c r="K55" s="28"/>
      <c r="L55" s="28"/>
      <c r="M55" s="28"/>
      <c r="O55" s="16"/>
    </row>
    <row r="56" spans="1:17" x14ac:dyDescent="0.25">
      <c r="A56" s="27"/>
      <c r="B56" s="27"/>
      <c r="C56" s="27"/>
      <c r="D56" s="27"/>
      <c r="E56" s="28"/>
      <c r="F56" s="26"/>
      <c r="G56" s="26"/>
      <c r="H56" s="26"/>
      <c r="I56" s="26"/>
      <c r="J56" s="26"/>
      <c r="K56" s="28"/>
      <c r="L56" s="28"/>
      <c r="M56" s="28"/>
      <c r="O56" s="16"/>
    </row>
    <row r="57" spans="1:17" x14ac:dyDescent="0.25">
      <c r="A57" s="27"/>
      <c r="B57" s="27"/>
      <c r="C57" s="27"/>
      <c r="D57" s="27"/>
      <c r="E57" s="28"/>
      <c r="F57" s="26"/>
      <c r="G57" s="26"/>
      <c r="H57" s="26"/>
      <c r="I57" s="26"/>
      <c r="J57" s="26"/>
      <c r="K57" s="28"/>
      <c r="L57" s="28"/>
      <c r="M57" s="28"/>
      <c r="O57" s="16"/>
    </row>
    <row r="58" spans="1:17" x14ac:dyDescent="0.25">
      <c r="A58" s="27"/>
      <c r="B58" s="27"/>
      <c r="C58" s="27"/>
      <c r="D58" s="27"/>
      <c r="E58" s="28"/>
      <c r="F58" s="26"/>
      <c r="G58" s="24"/>
      <c r="H58" s="24"/>
      <c r="I58" s="24"/>
      <c r="J58" s="24"/>
      <c r="K58" s="28"/>
      <c r="L58" s="28"/>
      <c r="M58" s="28"/>
    </row>
    <row r="59" spans="1:17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O59" s="16"/>
    </row>
    <row r="60" spans="1:17" x14ac:dyDescent="0.25">
      <c r="A60" s="27"/>
      <c r="B60" s="27"/>
      <c r="C60" s="27"/>
      <c r="D60" s="27"/>
      <c r="E60" s="27"/>
      <c r="F60" s="24"/>
      <c r="G60" s="24"/>
      <c r="H60" s="24"/>
      <c r="I60" s="24"/>
      <c r="J60" s="24"/>
      <c r="K60" s="27"/>
      <c r="L60" s="27"/>
      <c r="M60" s="27"/>
    </row>
    <row r="61" spans="1:17" x14ac:dyDescent="0.25">
      <c r="A61" s="27"/>
      <c r="B61" s="27"/>
      <c r="C61" s="27"/>
      <c r="D61" s="27"/>
      <c r="E61" s="27"/>
      <c r="F61" s="27"/>
      <c r="G61" s="26"/>
      <c r="H61" s="26"/>
      <c r="I61" s="26"/>
      <c r="J61" s="26"/>
      <c r="K61" s="26"/>
      <c r="L61" s="27"/>
      <c r="M61" s="27"/>
    </row>
    <row r="62" spans="1:17" x14ac:dyDescent="0.25">
      <c r="A62" s="27"/>
      <c r="B62" s="27"/>
      <c r="C62" s="27"/>
      <c r="D62" s="27"/>
      <c r="E62" s="27"/>
      <c r="F62" s="27"/>
      <c r="G62" s="26"/>
      <c r="H62" s="26"/>
      <c r="I62" s="26"/>
      <c r="J62" s="26"/>
      <c r="K62" s="27"/>
      <c r="L62" s="27"/>
      <c r="M62" s="27"/>
    </row>
    <row r="63" spans="1:17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7" x14ac:dyDescent="0.25">
      <c r="A64" s="27"/>
      <c r="B64" s="27"/>
      <c r="C64" s="27"/>
      <c r="D64" s="27"/>
      <c r="E64" s="27"/>
      <c r="F64" s="27"/>
      <c r="G64" s="26"/>
      <c r="H64" s="26"/>
      <c r="I64" s="26"/>
      <c r="J64" s="26"/>
      <c r="K64" s="27"/>
      <c r="L64" s="27"/>
      <c r="M64" s="27"/>
    </row>
    <row r="65" spans="1:13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</row>
    <row r="66" spans="1:13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</row>
    <row r="67" spans="1:13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</row>
    <row r="68" spans="1:13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</row>
    <row r="69" spans="1:13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</row>
    <row r="70" spans="1:13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</row>
    <row r="71" spans="1:13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spans="1:13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spans="1:13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</row>
    <row r="74" spans="1:13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</row>
    <row r="75" spans="1:13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</row>
    <row r="76" spans="1:13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spans="1:13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</row>
    <row r="78" spans="1:13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</row>
    <row r="79" spans="1:13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</row>
    <row r="80" spans="1:13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</row>
    <row r="81" spans="1:13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</row>
    <row r="82" spans="1:13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</row>
    <row r="83" spans="1:13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</row>
    <row r="84" spans="1:13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</row>
    <row r="85" spans="1:13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</row>
    <row r="86" spans="1:13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</row>
    <row r="87" spans="1:13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</row>
    <row r="88" spans="1: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</row>
    <row r="89" spans="1: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</row>
    <row r="90" spans="1:13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</row>
    <row r="91" spans="1: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</row>
    <row r="92" spans="1: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</row>
    <row r="93" spans="1: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</row>
    <row r="94" spans="1:13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</row>
    <row r="95" spans="1:13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</row>
    <row r="96" spans="1:13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</row>
    <row r="97" spans="1:13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</row>
    <row r="98" spans="1:13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</row>
    <row r="99" spans="1:13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</row>
    <row r="100" spans="1:13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</row>
    <row r="101" spans="1:13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</row>
    <row r="102" spans="1:13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</row>
    <row r="103" spans="1:13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</row>
    <row r="104" spans="1:13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</row>
    <row r="105" spans="1:13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</row>
    <row r="106" spans="1:13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</row>
    <row r="107" spans="1:13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</row>
    <row r="108" spans="1:13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</row>
    <row r="109" spans="1:13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</row>
    <row r="110" spans="1:13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</row>
    <row r="111" spans="1:13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</row>
    <row r="112" spans="1:13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</row>
    <row r="113" spans="1:13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</row>
    <row r="114" spans="1:13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</row>
    <row r="115" spans="1:13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</row>
    <row r="116" spans="1:13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</row>
    <row r="117" spans="1:13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</row>
    <row r="118" spans="1:13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</row>
    <row r="119" spans="1:13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</row>
    <row r="120" spans="1:13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</row>
    <row r="121" spans="1:13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</row>
    <row r="122" spans="1:13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</row>
    <row r="123" spans="1:13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</row>
    <row r="124" spans="1:13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</row>
    <row r="125" spans="1:13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</row>
    <row r="126" spans="1:13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</row>
    <row r="127" spans="1:13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</row>
    <row r="128" spans="1:13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</row>
    <row r="129" spans="1:13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</row>
    <row r="130" spans="1:13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</row>
    <row r="131" spans="1:13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</row>
    <row r="132" spans="1:13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</row>
    <row r="133" spans="1:13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</row>
    <row r="134" spans="1:13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</row>
  </sheetData>
  <mergeCells count="19">
    <mergeCell ref="B45:D45"/>
    <mergeCell ref="A47:F47"/>
    <mergeCell ref="B24:D24"/>
    <mergeCell ref="B26:D26"/>
    <mergeCell ref="B27:D27"/>
    <mergeCell ref="B29:D29"/>
    <mergeCell ref="B35:D35"/>
    <mergeCell ref="B15:D15"/>
    <mergeCell ref="B18:D18"/>
    <mergeCell ref="B19:D19"/>
    <mergeCell ref="B21:D21"/>
    <mergeCell ref="B23:D23"/>
    <mergeCell ref="A5:K5"/>
    <mergeCell ref="A13:A14"/>
    <mergeCell ref="B13:D14"/>
    <mergeCell ref="E13:E14"/>
    <mergeCell ref="F13:F14"/>
    <mergeCell ref="G13:H13"/>
    <mergeCell ref="I13:J13"/>
  </mergeCells>
  <pageMargins left="0.39370078740157483" right="0.39370078740157483" top="0.98425196850393704" bottom="0.78740157480314965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topLeftCell="A22" zoomScale="75" zoomScaleNormal="75" workbookViewId="0">
      <selection activeCell="K29" sqref="K29"/>
    </sheetView>
  </sheetViews>
  <sheetFormatPr defaultRowHeight="12.75" x14ac:dyDescent="0.25"/>
  <cols>
    <col min="1" max="1" width="7.28515625" style="2" customWidth="1"/>
    <col min="2" max="2" width="2.42578125" style="2" customWidth="1"/>
    <col min="3" max="3" width="27" style="2" customWidth="1"/>
    <col min="4" max="4" width="17.140625" style="2" customWidth="1"/>
    <col min="5" max="5" width="6.85546875" style="2" customWidth="1"/>
    <col min="6" max="6" width="9.28515625" style="2" customWidth="1"/>
    <col min="7" max="7" width="10.5703125" style="2" customWidth="1"/>
    <col min="8" max="8" width="10.28515625" style="2" customWidth="1"/>
    <col min="9" max="9" width="14.140625" style="2" customWidth="1"/>
    <col min="10" max="10" width="12.7109375" style="2" customWidth="1"/>
    <col min="11" max="11" width="15" style="2" bestFit="1" customWidth="1"/>
    <col min="12" max="12" width="12.140625" style="2" bestFit="1" customWidth="1"/>
    <col min="13" max="13" width="12.28515625" style="2" bestFit="1" customWidth="1"/>
    <col min="14" max="15" width="11" style="2" bestFit="1" customWidth="1"/>
    <col min="16" max="16384" width="9.140625" style="2"/>
  </cols>
  <sheetData>
    <row r="1" spans="1:12" x14ac:dyDescent="0.25">
      <c r="A1" s="20" t="s">
        <v>26</v>
      </c>
    </row>
    <row r="2" spans="1:12" x14ac:dyDescent="0.25">
      <c r="A2" s="20" t="s">
        <v>27</v>
      </c>
    </row>
    <row r="3" spans="1:12" x14ac:dyDescent="0.25">
      <c r="A3" s="20"/>
    </row>
    <row r="4" spans="1:12" x14ac:dyDescent="0.25">
      <c r="A4" s="20"/>
    </row>
    <row r="5" spans="1:12" ht="15" customHeight="1" x14ac:dyDescent="0.25">
      <c r="A5" s="91" t="s">
        <v>78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2" ht="15" customHeight="1" x14ac:dyDescent="0.2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</row>
    <row r="7" spans="1:12" ht="15" customHeight="1" x14ac:dyDescent="0.25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1:12" ht="15" customHeight="1" x14ac:dyDescent="0.25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</row>
    <row r="9" spans="1:12" x14ac:dyDescent="0.25">
      <c r="A9" s="2" t="s">
        <v>7</v>
      </c>
    </row>
    <row r="10" spans="1:12" x14ac:dyDescent="0.25">
      <c r="A10" s="2" t="s">
        <v>28</v>
      </c>
      <c r="B10" s="2" t="s">
        <v>87</v>
      </c>
      <c r="L10" s="16"/>
    </row>
    <row r="11" spans="1:12" x14ac:dyDescent="0.25">
      <c r="A11" s="2" t="s">
        <v>99</v>
      </c>
      <c r="F11" s="2" t="s">
        <v>24</v>
      </c>
      <c r="G11" s="86">
        <v>55.45</v>
      </c>
      <c r="H11" s="2" t="s">
        <v>23</v>
      </c>
      <c r="I11" s="18"/>
      <c r="J11" s="18"/>
    </row>
    <row r="12" spans="1:12" s="27" customFormat="1" ht="12" customHeight="1" x14ac:dyDescent="0.25">
      <c r="A12" s="27" t="s">
        <v>20</v>
      </c>
      <c r="F12" s="2" t="s">
        <v>25</v>
      </c>
      <c r="G12" s="87">
        <v>804.1</v>
      </c>
      <c r="H12" s="2" t="s">
        <v>0</v>
      </c>
      <c r="I12" s="18"/>
      <c r="J12" s="18"/>
      <c r="K12" s="2"/>
    </row>
    <row r="13" spans="1:12" ht="12" customHeight="1" x14ac:dyDescent="0.25">
      <c r="A13" s="27"/>
      <c r="B13" s="27"/>
      <c r="C13" s="27"/>
      <c r="D13" s="27"/>
      <c r="E13" s="5"/>
      <c r="F13" s="5"/>
      <c r="G13" s="27"/>
      <c r="H13" s="27"/>
      <c r="I13" s="27"/>
      <c r="J13" s="27"/>
    </row>
    <row r="14" spans="1:12" x14ac:dyDescent="0.25">
      <c r="A14" s="92" t="s">
        <v>3</v>
      </c>
      <c r="B14" s="92" t="s">
        <v>1</v>
      </c>
      <c r="C14" s="92"/>
      <c r="D14" s="92"/>
      <c r="E14" s="92" t="s">
        <v>2</v>
      </c>
      <c r="F14" s="92" t="s">
        <v>29</v>
      </c>
      <c r="G14" s="92" t="s">
        <v>83</v>
      </c>
      <c r="H14" s="92"/>
      <c r="I14" s="92" t="s">
        <v>84</v>
      </c>
      <c r="J14" s="92"/>
      <c r="K14" s="4" t="s">
        <v>21</v>
      </c>
    </row>
    <row r="15" spans="1:12" x14ac:dyDescent="0.25">
      <c r="A15" s="92"/>
      <c r="B15" s="92"/>
      <c r="C15" s="92"/>
      <c r="D15" s="92"/>
      <c r="E15" s="92"/>
      <c r="F15" s="92"/>
      <c r="G15" s="4" t="s">
        <v>82</v>
      </c>
      <c r="H15" s="4" t="s">
        <v>81</v>
      </c>
      <c r="I15" s="4" t="s">
        <v>82</v>
      </c>
      <c r="J15" s="4" t="s">
        <v>81</v>
      </c>
      <c r="K15" s="4" t="s">
        <v>22</v>
      </c>
    </row>
    <row r="16" spans="1:12" ht="13.5" customHeight="1" x14ac:dyDescent="0.25">
      <c r="A16" s="6"/>
      <c r="B16" s="99"/>
      <c r="C16" s="100"/>
      <c r="D16" s="100"/>
      <c r="E16" s="7"/>
      <c r="F16" s="8"/>
      <c r="G16" s="13"/>
      <c r="H16" s="13"/>
      <c r="I16" s="13"/>
      <c r="J16" s="13"/>
      <c r="K16" s="43"/>
    </row>
    <row r="17" spans="1:13" ht="13.5" customHeight="1" x14ac:dyDescent="0.25">
      <c r="A17" s="9" t="s">
        <v>5</v>
      </c>
      <c r="B17" s="10" t="s">
        <v>4</v>
      </c>
      <c r="C17" s="11"/>
      <c r="D17" s="11"/>
      <c r="E17" s="12"/>
      <c r="F17" s="13"/>
      <c r="G17" s="13"/>
      <c r="H17" s="13"/>
      <c r="I17" s="13"/>
      <c r="J17" s="13"/>
      <c r="K17" s="51"/>
    </row>
    <row r="18" spans="1:13" ht="13.5" customHeight="1" x14ac:dyDescent="0.25">
      <c r="A18" s="12" t="s">
        <v>45</v>
      </c>
      <c r="B18" s="66" t="s">
        <v>79</v>
      </c>
      <c r="C18" s="11"/>
      <c r="D18" s="11"/>
      <c r="E18" s="79" t="s">
        <v>0</v>
      </c>
      <c r="F18" s="13">
        <f>G12</f>
        <v>804.1</v>
      </c>
      <c r="G18" s="13">
        <f>'ORC GLOBAL'!I18</f>
        <v>0.13999999999999999</v>
      </c>
      <c r="H18" s="13">
        <f>'ORC GLOBAL'!J18</f>
        <v>0.55999999999999994</v>
      </c>
      <c r="I18" s="13">
        <f>TRUNC(F18*G18,2)</f>
        <v>112.57</v>
      </c>
      <c r="J18" s="13">
        <f>TRUNC(F18*H18,2)</f>
        <v>450.29</v>
      </c>
      <c r="K18" s="52">
        <f>TRUNC(I18+J18,2)</f>
        <v>562.86</v>
      </c>
      <c r="L18" s="78"/>
      <c r="M18" s="80"/>
    </row>
    <row r="19" spans="1:13" ht="13.5" customHeight="1" x14ac:dyDescent="0.25">
      <c r="A19" s="12" t="s">
        <v>46</v>
      </c>
      <c r="B19" s="93" t="s">
        <v>73</v>
      </c>
      <c r="C19" s="94"/>
      <c r="D19" s="94"/>
      <c r="E19" s="60" t="s">
        <v>64</v>
      </c>
      <c r="F19" s="13"/>
      <c r="G19" s="13">
        <f>'ORC GLOBAL'!I19</f>
        <v>0</v>
      </c>
      <c r="H19" s="13">
        <f>'ORC GLOBAL'!J19</f>
        <v>0</v>
      </c>
      <c r="I19" s="13">
        <f t="shared" ref="I19:I24" si="0">TRUNC(F19*G19,2)</f>
        <v>0</v>
      </c>
      <c r="J19" s="13">
        <f t="shared" ref="J19:J24" si="1">TRUNC(F19*H19,2)</f>
        <v>0</v>
      </c>
      <c r="K19" s="52">
        <f t="shared" ref="K19:K24" si="2">TRUNC(I19+J19,2)</f>
        <v>0</v>
      </c>
      <c r="L19" s="78"/>
      <c r="M19" s="80"/>
    </row>
    <row r="20" spans="1:13" ht="13.5" customHeight="1" x14ac:dyDescent="0.25">
      <c r="A20" s="12" t="s">
        <v>47</v>
      </c>
      <c r="B20" s="93" t="s">
        <v>31</v>
      </c>
      <c r="C20" s="94"/>
      <c r="D20" s="94"/>
      <c r="E20" s="60" t="s">
        <v>64</v>
      </c>
      <c r="F20" s="13"/>
      <c r="G20" s="13">
        <f>'ORC GLOBAL'!I20</f>
        <v>0</v>
      </c>
      <c r="H20" s="13">
        <f>'ORC GLOBAL'!J20</f>
        <v>0</v>
      </c>
      <c r="I20" s="13">
        <f t="shared" si="0"/>
        <v>0</v>
      </c>
      <c r="J20" s="13">
        <f t="shared" si="1"/>
        <v>0</v>
      </c>
      <c r="K20" s="52">
        <f t="shared" si="2"/>
        <v>0</v>
      </c>
      <c r="L20" s="78"/>
      <c r="M20" s="80"/>
    </row>
    <row r="21" spans="1:13" ht="13.5" customHeight="1" x14ac:dyDescent="0.25">
      <c r="A21" s="12" t="s">
        <v>48</v>
      </c>
      <c r="B21" s="14" t="s">
        <v>30</v>
      </c>
      <c r="C21" s="15"/>
      <c r="D21" s="15"/>
      <c r="E21" s="12" t="s">
        <v>0</v>
      </c>
      <c r="F21" s="13">
        <f>G12</f>
        <v>804.1</v>
      </c>
      <c r="G21" s="13">
        <f>'ORC GLOBAL'!I21</f>
        <v>1.08</v>
      </c>
      <c r="H21" s="13">
        <f>'ORC GLOBAL'!J21</f>
        <v>0.27</v>
      </c>
      <c r="I21" s="13">
        <f t="shared" si="0"/>
        <v>868.42</v>
      </c>
      <c r="J21" s="13">
        <f t="shared" si="1"/>
        <v>217.1</v>
      </c>
      <c r="K21" s="52">
        <f t="shared" si="2"/>
        <v>1085.52</v>
      </c>
      <c r="L21" s="78"/>
      <c r="M21" s="80"/>
    </row>
    <row r="22" spans="1:13" ht="13.5" customHeight="1" x14ac:dyDescent="0.25">
      <c r="A22" s="12" t="s">
        <v>49</v>
      </c>
      <c r="B22" s="93" t="s">
        <v>71</v>
      </c>
      <c r="C22" s="94"/>
      <c r="D22" s="94"/>
      <c r="E22" s="12" t="s">
        <v>64</v>
      </c>
      <c r="F22" s="13">
        <f>G12*0.04</f>
        <v>32.164000000000001</v>
      </c>
      <c r="G22" s="13">
        <f>'ORC GLOBAL'!I22</f>
        <v>480</v>
      </c>
      <c r="H22" s="13">
        <f>'ORC GLOBAL'!J22</f>
        <v>120</v>
      </c>
      <c r="I22" s="13">
        <f t="shared" si="0"/>
        <v>15438.72</v>
      </c>
      <c r="J22" s="13">
        <f t="shared" si="1"/>
        <v>3859.68</v>
      </c>
      <c r="K22" s="52">
        <f t="shared" si="2"/>
        <v>19298.400000000001</v>
      </c>
      <c r="L22" s="78"/>
      <c r="M22" s="80"/>
    </row>
    <row r="23" spans="1:13" ht="13.5" customHeight="1" x14ac:dyDescent="0.25">
      <c r="A23" s="12" t="s">
        <v>50</v>
      </c>
      <c r="B23" s="14" t="s">
        <v>30</v>
      </c>
      <c r="C23" s="15"/>
      <c r="D23" s="15"/>
      <c r="E23" s="12" t="s">
        <v>0</v>
      </c>
      <c r="F23" s="13">
        <f>F21</f>
        <v>804.1</v>
      </c>
      <c r="G23" s="13">
        <f>'ORC GLOBAL'!I23</f>
        <v>1.08</v>
      </c>
      <c r="H23" s="13">
        <f>'ORC GLOBAL'!J23</f>
        <v>0.27</v>
      </c>
      <c r="I23" s="13">
        <f t="shared" si="0"/>
        <v>868.42</v>
      </c>
      <c r="J23" s="13">
        <f t="shared" si="1"/>
        <v>217.1</v>
      </c>
      <c r="K23" s="52">
        <f t="shared" si="2"/>
        <v>1085.52</v>
      </c>
      <c r="L23" s="78"/>
      <c r="M23" s="80"/>
    </row>
    <row r="24" spans="1:13" ht="13.5" customHeight="1" x14ac:dyDescent="0.25">
      <c r="A24" s="12" t="s">
        <v>80</v>
      </c>
      <c r="B24" s="93" t="s">
        <v>72</v>
      </c>
      <c r="C24" s="94"/>
      <c r="D24" s="94"/>
      <c r="E24" s="12" t="s">
        <v>64</v>
      </c>
      <c r="F24" s="13">
        <f>G12*0.04</f>
        <v>32.164000000000001</v>
      </c>
      <c r="G24" s="13">
        <f>'ORC GLOBAL'!I24</f>
        <v>480</v>
      </c>
      <c r="H24" s="13">
        <f>'ORC GLOBAL'!J24</f>
        <v>120</v>
      </c>
      <c r="I24" s="13">
        <f t="shared" si="0"/>
        <v>15438.72</v>
      </c>
      <c r="J24" s="13">
        <f t="shared" si="1"/>
        <v>3859.68</v>
      </c>
      <c r="K24" s="52">
        <f t="shared" si="2"/>
        <v>19298.400000000001</v>
      </c>
      <c r="L24" s="78"/>
      <c r="M24" s="80"/>
    </row>
    <row r="25" spans="1:13" ht="13.5" customHeight="1" x14ac:dyDescent="0.25">
      <c r="A25" s="12"/>
      <c r="B25" s="95" t="s">
        <v>66</v>
      </c>
      <c r="C25" s="96"/>
      <c r="D25" s="96"/>
      <c r="E25" s="61"/>
      <c r="F25" s="13"/>
      <c r="G25" s="13">
        <f>'ORC GLOBAL'!I25</f>
        <v>0</v>
      </c>
      <c r="H25" s="13">
        <f>'ORC GLOBAL'!J25</f>
        <v>0</v>
      </c>
      <c r="I25" s="84">
        <f>SUM(I18:I24)</f>
        <v>32726.85</v>
      </c>
      <c r="J25" s="84">
        <f>SUM(J18:J24)</f>
        <v>8603.85</v>
      </c>
      <c r="K25" s="84">
        <f>SUM(K18:K24)</f>
        <v>41330.700000000004</v>
      </c>
      <c r="L25" s="78"/>
      <c r="M25" s="80"/>
    </row>
    <row r="26" spans="1:13" ht="13.5" customHeight="1" x14ac:dyDescent="0.25">
      <c r="A26" s="12"/>
      <c r="B26" s="58"/>
      <c r="C26" s="59"/>
      <c r="D26" s="59"/>
      <c r="E26" s="61"/>
      <c r="F26" s="13"/>
      <c r="G26" s="13">
        <f>'ORC GLOBAL'!I26</f>
        <v>0</v>
      </c>
      <c r="H26" s="13">
        <f>'ORC GLOBAL'!J26</f>
        <v>0</v>
      </c>
      <c r="I26" s="13"/>
      <c r="J26" s="13"/>
      <c r="K26" s="52"/>
      <c r="L26" s="78"/>
      <c r="M26" s="80"/>
    </row>
    <row r="27" spans="1:13" ht="13.5" customHeight="1" x14ac:dyDescent="0.25">
      <c r="A27" s="9" t="s">
        <v>51</v>
      </c>
      <c r="B27" s="101" t="s">
        <v>33</v>
      </c>
      <c r="C27" s="102"/>
      <c r="D27" s="102"/>
      <c r="E27" s="61"/>
      <c r="F27" s="13"/>
      <c r="G27" s="13">
        <f>'ORC GLOBAL'!I27</f>
        <v>0</v>
      </c>
      <c r="H27" s="13">
        <f>'ORC GLOBAL'!J27</f>
        <v>0</v>
      </c>
      <c r="I27" s="13"/>
      <c r="J27" s="13"/>
      <c r="K27" s="52"/>
      <c r="L27" s="78"/>
      <c r="M27" s="80"/>
    </row>
    <row r="28" spans="1:13" ht="13.5" customHeight="1" x14ac:dyDescent="0.25">
      <c r="A28" s="12" t="s">
        <v>52</v>
      </c>
      <c r="B28" s="93" t="s">
        <v>32</v>
      </c>
      <c r="C28" s="94"/>
      <c r="D28" s="94"/>
      <c r="E28" s="61" t="s">
        <v>64</v>
      </c>
      <c r="F28" s="13">
        <f>(F31+F32)*1.5*0.6</f>
        <v>0</v>
      </c>
      <c r="G28" s="13">
        <f>'ORC GLOBAL'!I28</f>
        <v>9.6839999999999993</v>
      </c>
      <c r="H28" s="13">
        <f>'ORC GLOBAL'!J28</f>
        <v>6.4560000000000013</v>
      </c>
      <c r="I28" s="13">
        <f t="shared" ref="I28:I35" si="3">TRUNC(F28*G28,2)</f>
        <v>0</v>
      </c>
      <c r="J28" s="13">
        <f t="shared" ref="J28:J35" si="4">TRUNC(F28*H28,2)</f>
        <v>0</v>
      </c>
      <c r="K28" s="52">
        <f t="shared" ref="K28:K44" si="5">TRUNC(I28+J28,2)</f>
        <v>0</v>
      </c>
      <c r="L28" s="78"/>
      <c r="M28" s="80"/>
    </row>
    <row r="29" spans="1:13" ht="13.5" customHeight="1" x14ac:dyDescent="0.25">
      <c r="A29" s="12" t="s">
        <v>76</v>
      </c>
      <c r="B29" s="58" t="s">
        <v>38</v>
      </c>
      <c r="C29" s="59"/>
      <c r="D29" s="59"/>
      <c r="E29" s="62" t="s">
        <v>23</v>
      </c>
      <c r="F29" s="13"/>
      <c r="G29" s="13">
        <f>'ORC GLOBAL'!I29</f>
        <v>13.456000000000001</v>
      </c>
      <c r="H29" s="13">
        <f>'ORC GLOBAL'!J29</f>
        <v>3.363999999999999</v>
      </c>
      <c r="I29" s="13">
        <f t="shared" si="3"/>
        <v>0</v>
      </c>
      <c r="J29" s="13">
        <f t="shared" si="4"/>
        <v>0</v>
      </c>
      <c r="K29" s="52">
        <f t="shared" si="5"/>
        <v>0</v>
      </c>
      <c r="L29" s="78"/>
      <c r="M29" s="80"/>
    </row>
    <row r="30" spans="1:13" ht="13.5" customHeight="1" x14ac:dyDescent="0.25">
      <c r="A30" s="12" t="s">
        <v>53</v>
      </c>
      <c r="B30" s="93" t="s">
        <v>35</v>
      </c>
      <c r="C30" s="94"/>
      <c r="D30" s="94"/>
      <c r="E30" s="62" t="s">
        <v>64</v>
      </c>
      <c r="F30" s="13">
        <f>(F28*1.3)-((F31+F32)*0.4*0.4)</f>
        <v>0</v>
      </c>
      <c r="G30" s="13">
        <f>'ORC GLOBAL'!I30</f>
        <v>3.7439999999999998</v>
      </c>
      <c r="H30" s="13">
        <f>'ORC GLOBAL'!J30</f>
        <v>0.93599999999999994</v>
      </c>
      <c r="I30" s="13">
        <f t="shared" si="3"/>
        <v>0</v>
      </c>
      <c r="J30" s="13">
        <f t="shared" si="4"/>
        <v>0</v>
      </c>
      <c r="K30" s="52">
        <f t="shared" si="5"/>
        <v>0</v>
      </c>
      <c r="L30" s="78"/>
      <c r="M30" s="80"/>
    </row>
    <row r="31" spans="1:13" ht="13.5" customHeight="1" x14ac:dyDescent="0.25">
      <c r="A31" s="12" t="s">
        <v>77</v>
      </c>
      <c r="B31" s="63" t="s">
        <v>34</v>
      </c>
      <c r="C31" s="64"/>
      <c r="D31" s="64"/>
      <c r="E31" s="60" t="s">
        <v>23</v>
      </c>
      <c r="F31" s="13"/>
      <c r="G31" s="13">
        <f>'ORC GLOBAL'!I31</f>
        <v>36.4</v>
      </c>
      <c r="H31" s="13">
        <f>'ORC GLOBAL'!J31</f>
        <v>9.1000000000000014</v>
      </c>
      <c r="I31" s="13">
        <f t="shared" si="3"/>
        <v>0</v>
      </c>
      <c r="J31" s="13">
        <f t="shared" si="4"/>
        <v>0</v>
      </c>
      <c r="K31" s="52">
        <f t="shared" si="5"/>
        <v>0</v>
      </c>
      <c r="L31" s="78"/>
      <c r="M31" s="80"/>
    </row>
    <row r="32" spans="1:13" ht="13.5" customHeight="1" x14ac:dyDescent="0.25">
      <c r="A32" s="12" t="s">
        <v>54</v>
      </c>
      <c r="B32" s="63" t="s">
        <v>37</v>
      </c>
      <c r="C32" s="64"/>
      <c r="D32" s="64"/>
      <c r="E32" s="60" t="s">
        <v>23</v>
      </c>
      <c r="F32" s="13"/>
      <c r="G32" s="13">
        <f>'ORC GLOBAL'!I32</f>
        <v>44.800000000000004</v>
      </c>
      <c r="H32" s="13">
        <f>'ORC GLOBAL'!J32</f>
        <v>11.199999999999996</v>
      </c>
      <c r="I32" s="13">
        <f t="shared" si="3"/>
        <v>0</v>
      </c>
      <c r="J32" s="13">
        <f t="shared" si="4"/>
        <v>0</v>
      </c>
      <c r="K32" s="52">
        <f t="shared" si="5"/>
        <v>0</v>
      </c>
      <c r="L32" s="78"/>
      <c r="M32" s="80"/>
    </row>
    <row r="33" spans="1:15" ht="13.5" customHeight="1" x14ac:dyDescent="0.25">
      <c r="A33" s="12" t="s">
        <v>55</v>
      </c>
      <c r="B33" s="63" t="s">
        <v>75</v>
      </c>
      <c r="C33" s="64"/>
      <c r="D33" s="64"/>
      <c r="E33" s="60" t="s">
        <v>23</v>
      </c>
      <c r="F33" s="13"/>
      <c r="G33" s="13">
        <f>'ORC GLOBAL'!I33</f>
        <v>56</v>
      </c>
      <c r="H33" s="13">
        <f>'ORC GLOBAL'!J33</f>
        <v>14</v>
      </c>
      <c r="I33" s="13">
        <f t="shared" si="3"/>
        <v>0</v>
      </c>
      <c r="J33" s="13">
        <f t="shared" si="4"/>
        <v>0</v>
      </c>
      <c r="K33" s="52">
        <f t="shared" si="5"/>
        <v>0</v>
      </c>
      <c r="L33" s="78"/>
      <c r="M33" s="80"/>
    </row>
    <row r="34" spans="1:15" ht="13.5" customHeight="1" x14ac:dyDescent="0.25">
      <c r="A34" s="12" t="s">
        <v>56</v>
      </c>
      <c r="B34" s="66" t="s">
        <v>36</v>
      </c>
      <c r="C34" s="64"/>
      <c r="D34" s="64"/>
      <c r="E34" s="12" t="s">
        <v>65</v>
      </c>
      <c r="F34" s="13"/>
      <c r="G34" s="13">
        <f>'ORC GLOBAL'!I34</f>
        <v>552.03200000000004</v>
      </c>
      <c r="H34" s="13">
        <f>'ORC GLOBAL'!J34</f>
        <v>138.00799999999992</v>
      </c>
      <c r="I34" s="13">
        <f t="shared" si="3"/>
        <v>0</v>
      </c>
      <c r="J34" s="13">
        <f t="shared" si="4"/>
        <v>0</v>
      </c>
      <c r="K34" s="52">
        <f t="shared" si="5"/>
        <v>0</v>
      </c>
      <c r="L34" s="78"/>
      <c r="M34" s="80"/>
      <c r="N34" s="78"/>
    </row>
    <row r="35" spans="1:15" ht="13.5" customHeight="1" x14ac:dyDescent="0.25">
      <c r="A35" s="12" t="s">
        <v>57</v>
      </c>
      <c r="B35" s="66" t="s">
        <v>74</v>
      </c>
      <c r="C35" s="17"/>
      <c r="D35" s="17"/>
      <c r="E35" s="12" t="s">
        <v>65</v>
      </c>
      <c r="F35" s="13"/>
      <c r="G35" s="13">
        <f>'ORC GLOBAL'!I35</f>
        <v>662.4384</v>
      </c>
      <c r="H35" s="13">
        <f>'ORC GLOBAL'!J35</f>
        <v>165.60959999999989</v>
      </c>
      <c r="I35" s="13">
        <f t="shared" si="3"/>
        <v>0</v>
      </c>
      <c r="J35" s="13">
        <f t="shared" si="4"/>
        <v>0</v>
      </c>
      <c r="K35" s="52">
        <f t="shared" si="5"/>
        <v>0</v>
      </c>
      <c r="L35" s="78"/>
      <c r="M35" s="80"/>
    </row>
    <row r="36" spans="1:15" ht="13.5" customHeight="1" x14ac:dyDescent="0.25">
      <c r="A36" s="12"/>
      <c r="B36" s="95" t="s">
        <v>67</v>
      </c>
      <c r="C36" s="96"/>
      <c r="D36" s="96"/>
      <c r="E36" s="12"/>
      <c r="F36" s="13"/>
      <c r="G36" s="13">
        <f>'ORC GLOBAL'!I36</f>
        <v>0</v>
      </c>
      <c r="H36" s="13">
        <f>'ORC GLOBAL'!J36</f>
        <v>0</v>
      </c>
      <c r="I36" s="84">
        <f>SUM(I28:I35)</f>
        <v>0</v>
      </c>
      <c r="J36" s="84">
        <f>SUM(J28:J35)</f>
        <v>0</v>
      </c>
      <c r="K36" s="84">
        <f>SUM(K28:K35)</f>
        <v>0</v>
      </c>
      <c r="L36" s="78"/>
      <c r="M36" s="80"/>
    </row>
    <row r="37" spans="1:15" ht="13.5" customHeight="1" x14ac:dyDescent="0.25">
      <c r="A37" s="12"/>
      <c r="B37" s="66"/>
      <c r="C37" s="17"/>
      <c r="D37" s="17"/>
      <c r="E37" s="12"/>
      <c r="F37" s="13"/>
      <c r="G37" s="13">
        <f>'ORC GLOBAL'!I37</f>
        <v>0</v>
      </c>
      <c r="H37" s="13">
        <f>'ORC GLOBAL'!J37</f>
        <v>0</v>
      </c>
      <c r="I37" s="13"/>
      <c r="J37" s="13"/>
      <c r="K37" s="52"/>
      <c r="L37" s="78"/>
      <c r="M37" s="80"/>
    </row>
    <row r="38" spans="1:15" ht="13.5" customHeight="1" x14ac:dyDescent="0.25">
      <c r="A38" s="9" t="s">
        <v>58</v>
      </c>
      <c r="B38" s="10" t="s">
        <v>39</v>
      </c>
      <c r="C38" s="17"/>
      <c r="D38" s="17"/>
      <c r="E38" s="12"/>
      <c r="F38" s="13"/>
      <c r="G38" s="13">
        <f>'ORC GLOBAL'!I38</f>
        <v>0</v>
      </c>
      <c r="H38" s="13">
        <f>'ORC GLOBAL'!J38</f>
        <v>0</v>
      </c>
      <c r="I38" s="13"/>
      <c r="J38" s="13"/>
      <c r="K38" s="52"/>
      <c r="L38" s="78"/>
      <c r="M38" s="80"/>
    </row>
    <row r="39" spans="1:15" ht="13.5" customHeight="1" x14ac:dyDescent="0.25">
      <c r="A39" s="12" t="s">
        <v>59</v>
      </c>
      <c r="B39" s="66" t="s">
        <v>40</v>
      </c>
      <c r="C39" s="17"/>
      <c r="D39" s="17"/>
      <c r="E39" s="12" t="s">
        <v>0</v>
      </c>
      <c r="F39" s="13">
        <f>55*0.1*2</f>
        <v>11</v>
      </c>
      <c r="G39" s="13">
        <f>'ORC GLOBAL'!I39</f>
        <v>13.984000000000002</v>
      </c>
      <c r="H39" s="13">
        <f>'ORC GLOBAL'!J39</f>
        <v>3.4959999999999987</v>
      </c>
      <c r="I39" s="13">
        <f t="shared" ref="I39:I44" si="6">TRUNC(F39*G39,2)</f>
        <v>153.82</v>
      </c>
      <c r="J39" s="13">
        <f t="shared" ref="J39:J44" si="7">TRUNC(F39*H39,2)</f>
        <v>38.450000000000003</v>
      </c>
      <c r="K39" s="52">
        <f t="shared" si="5"/>
        <v>192.27</v>
      </c>
      <c r="L39" s="78"/>
      <c r="M39" s="80"/>
    </row>
    <row r="40" spans="1:15" ht="13.5" customHeight="1" x14ac:dyDescent="0.25">
      <c r="A40" s="12" t="s">
        <v>60</v>
      </c>
      <c r="B40" s="66" t="s">
        <v>41</v>
      </c>
      <c r="C40" s="17"/>
      <c r="D40" s="17"/>
      <c r="E40" s="12" t="s">
        <v>0</v>
      </c>
      <c r="F40" s="13">
        <f>55*0.2</f>
        <v>11</v>
      </c>
      <c r="G40" s="13">
        <f>'ORC GLOBAL'!I40</f>
        <v>13.984000000000002</v>
      </c>
      <c r="H40" s="13">
        <f>'ORC GLOBAL'!J40</f>
        <v>3.4959999999999987</v>
      </c>
      <c r="I40" s="13">
        <f t="shared" si="6"/>
        <v>153.82</v>
      </c>
      <c r="J40" s="13">
        <f t="shared" si="7"/>
        <v>38.450000000000003</v>
      </c>
      <c r="K40" s="52">
        <f t="shared" si="5"/>
        <v>192.27</v>
      </c>
      <c r="L40" s="78"/>
      <c r="M40" s="80"/>
    </row>
    <row r="41" spans="1:15" ht="13.5" customHeight="1" x14ac:dyDescent="0.25">
      <c r="A41" s="12" t="s">
        <v>61</v>
      </c>
      <c r="B41" s="66" t="s">
        <v>42</v>
      </c>
      <c r="C41" s="17"/>
      <c r="D41" s="17"/>
      <c r="E41" s="12" t="s">
        <v>0</v>
      </c>
      <c r="F41" s="13">
        <f>(2.5*15/2)</f>
        <v>18.75</v>
      </c>
      <c r="G41" s="13">
        <f>'ORC GLOBAL'!I41</f>
        <v>13.984000000000002</v>
      </c>
      <c r="H41" s="13">
        <f>'ORC GLOBAL'!J41</f>
        <v>3.4959999999999987</v>
      </c>
      <c r="I41" s="13">
        <f t="shared" si="6"/>
        <v>262.2</v>
      </c>
      <c r="J41" s="13">
        <f t="shared" si="7"/>
        <v>65.55</v>
      </c>
      <c r="K41" s="52">
        <f t="shared" si="5"/>
        <v>327.75</v>
      </c>
      <c r="L41" s="78"/>
      <c r="M41" s="80"/>
    </row>
    <row r="42" spans="1:15" ht="13.5" customHeight="1" x14ac:dyDescent="0.25">
      <c r="A42" s="12" t="s">
        <v>62</v>
      </c>
      <c r="B42" s="66" t="s">
        <v>43</v>
      </c>
      <c r="C42" s="17"/>
      <c r="D42" s="17"/>
      <c r="E42" s="12" t="s">
        <v>65</v>
      </c>
      <c r="F42" s="13">
        <v>0</v>
      </c>
      <c r="G42" s="13">
        <f>'ORC GLOBAL'!I42</f>
        <v>154.80000000000001</v>
      </c>
      <c r="H42" s="13">
        <f>'ORC GLOBAL'!J42</f>
        <v>38.699999999999989</v>
      </c>
      <c r="I42" s="13">
        <f t="shared" si="6"/>
        <v>0</v>
      </c>
      <c r="J42" s="13">
        <f t="shared" si="7"/>
        <v>0</v>
      </c>
      <c r="K42" s="52">
        <f t="shared" si="5"/>
        <v>0</v>
      </c>
      <c r="L42" s="78"/>
      <c r="M42" s="80"/>
    </row>
    <row r="43" spans="1:15" ht="13.5" customHeight="1" x14ac:dyDescent="0.25">
      <c r="A43" s="12" t="s">
        <v>63</v>
      </c>
      <c r="B43" s="66" t="s">
        <v>70</v>
      </c>
      <c r="C43" s="17"/>
      <c r="D43" s="17"/>
      <c r="E43" s="12" t="s">
        <v>65</v>
      </c>
      <c r="F43" s="13">
        <v>1</v>
      </c>
      <c r="G43" s="13">
        <f>'ORC GLOBAL'!I43</f>
        <v>154.80000000000001</v>
      </c>
      <c r="H43" s="13">
        <f>'ORC GLOBAL'!J43</f>
        <v>38.699999999999989</v>
      </c>
      <c r="I43" s="13">
        <f t="shared" si="6"/>
        <v>154.80000000000001</v>
      </c>
      <c r="J43" s="13">
        <f t="shared" si="7"/>
        <v>38.700000000000003</v>
      </c>
      <c r="K43" s="52">
        <f t="shared" si="5"/>
        <v>193.5</v>
      </c>
      <c r="L43" s="78"/>
      <c r="M43" s="80"/>
    </row>
    <row r="44" spans="1:15" ht="13.5" customHeight="1" x14ac:dyDescent="0.25">
      <c r="A44" s="12" t="s">
        <v>69</v>
      </c>
      <c r="B44" s="66" t="s">
        <v>44</v>
      </c>
      <c r="C44" s="17"/>
      <c r="D44" s="17"/>
      <c r="E44" s="12" t="s">
        <v>0</v>
      </c>
      <c r="F44" s="13"/>
      <c r="G44" s="13">
        <f>'ORC GLOBAL'!I44</f>
        <v>390.048</v>
      </c>
      <c r="H44" s="13">
        <f>'ORC GLOBAL'!J44</f>
        <v>97.512</v>
      </c>
      <c r="I44" s="13">
        <f t="shared" si="6"/>
        <v>0</v>
      </c>
      <c r="J44" s="13">
        <f t="shared" si="7"/>
        <v>0</v>
      </c>
      <c r="K44" s="52">
        <f t="shared" si="5"/>
        <v>0</v>
      </c>
      <c r="L44" s="78"/>
      <c r="M44" s="80"/>
    </row>
    <row r="45" spans="1:15" ht="13.5" customHeight="1" x14ac:dyDescent="0.25">
      <c r="A45" s="12" t="s">
        <v>85</v>
      </c>
      <c r="B45" s="66" t="s">
        <v>86</v>
      </c>
      <c r="C45" s="17"/>
      <c r="D45" s="17"/>
      <c r="E45" s="12" t="s">
        <v>65</v>
      </c>
      <c r="F45" s="13">
        <v>2</v>
      </c>
      <c r="G45" s="13">
        <f>'ORC GLOBAL'!I45</f>
        <v>130.66199999999998</v>
      </c>
      <c r="H45" s="13">
        <f>'ORC GLOBAL'!J45</f>
        <v>55.998000000000019</v>
      </c>
      <c r="I45" s="13">
        <f>TRUNC(F45*G45,2)</f>
        <v>261.32</v>
      </c>
      <c r="J45" s="13">
        <f>TRUNC(F45*H45,2)</f>
        <v>111.99</v>
      </c>
      <c r="K45" s="52">
        <f>TRUNC(I45+J45,2)</f>
        <v>373.31</v>
      </c>
      <c r="L45" s="78"/>
      <c r="M45" s="80"/>
    </row>
    <row r="46" spans="1:15" ht="13.5" customHeight="1" x14ac:dyDescent="0.25">
      <c r="A46" s="12"/>
      <c r="B46" s="95" t="s">
        <v>68</v>
      </c>
      <c r="C46" s="96"/>
      <c r="D46" s="96"/>
      <c r="E46" s="12"/>
      <c r="F46" s="13"/>
      <c r="G46" s="13"/>
      <c r="H46" s="13"/>
      <c r="I46" s="84">
        <f>SUM(I39:I45)</f>
        <v>985.95999999999981</v>
      </c>
      <c r="J46" s="84">
        <f>SUM(J39:J45)</f>
        <v>293.14</v>
      </c>
      <c r="K46" s="84">
        <f>SUM(K39:K45)</f>
        <v>1279.0999999999999</v>
      </c>
      <c r="L46" s="78"/>
      <c r="M46" s="80"/>
    </row>
    <row r="47" spans="1:15" x14ac:dyDescent="0.25">
      <c r="A47" s="21"/>
      <c r="B47" s="67"/>
      <c r="C47" s="68"/>
      <c r="D47" s="68"/>
      <c r="E47" s="21"/>
      <c r="F47" s="22"/>
      <c r="G47" s="83"/>
      <c r="H47" s="83"/>
      <c r="I47" s="83"/>
      <c r="J47" s="83"/>
      <c r="K47" s="53"/>
      <c r="L47" s="78"/>
      <c r="M47" s="80"/>
      <c r="N47" s="16"/>
      <c r="O47" s="16"/>
    </row>
    <row r="48" spans="1:15" ht="17.25" customHeight="1" x14ac:dyDescent="0.25">
      <c r="A48" s="97" t="s">
        <v>6</v>
      </c>
      <c r="B48" s="98"/>
      <c r="C48" s="98"/>
      <c r="D48" s="98"/>
      <c r="E48" s="98"/>
      <c r="F48" s="98"/>
      <c r="G48" s="82"/>
      <c r="H48" s="82"/>
      <c r="I48" s="85">
        <f>I46+I36+I25</f>
        <v>33712.81</v>
      </c>
      <c r="J48" s="85">
        <f>J46+J36+J25</f>
        <v>8896.99</v>
      </c>
      <c r="K48" s="85">
        <f>K46+K36+K25</f>
        <v>42609.8</v>
      </c>
      <c r="L48" s="78"/>
      <c r="M48" s="80"/>
      <c r="N48" s="16"/>
      <c r="O48" s="16"/>
    </row>
    <row r="49" spans="1:17" s="20" customFormat="1" x14ac:dyDescent="0.25">
      <c r="A49" s="23"/>
      <c r="B49" s="23"/>
      <c r="C49" s="23"/>
      <c r="D49" s="24"/>
      <c r="E49" s="23"/>
      <c r="F49" s="23"/>
      <c r="G49" s="23"/>
      <c r="H49" s="23"/>
      <c r="I49" s="23"/>
      <c r="J49" s="23"/>
      <c r="K49" s="25"/>
      <c r="L49" s="25"/>
      <c r="M49" s="25"/>
      <c r="N49" s="19"/>
      <c r="O49" s="19"/>
    </row>
    <row r="50" spans="1:17" x14ac:dyDescent="0.25">
      <c r="A50" s="26"/>
      <c r="B50" s="27"/>
      <c r="C50" s="27"/>
      <c r="D50" s="27"/>
      <c r="E50" s="27"/>
      <c r="F50" s="28"/>
      <c r="G50" s="27"/>
      <c r="H50" s="27"/>
      <c r="I50" s="27"/>
      <c r="J50" s="27"/>
      <c r="K50" s="28"/>
      <c r="L50" s="28"/>
      <c r="M50" s="28"/>
      <c r="N50" s="16"/>
    </row>
    <row r="51" spans="1:17" s="20" customFormat="1" ht="12.75" customHeight="1" x14ac:dyDescent="0.3">
      <c r="A51" s="26"/>
      <c r="B51" s="23"/>
      <c r="C51" s="29"/>
      <c r="D51" s="24"/>
      <c r="E51" s="27"/>
      <c r="F51" s="28"/>
      <c r="G51" s="26"/>
      <c r="H51" s="26"/>
      <c r="I51" s="26"/>
      <c r="J51" s="26"/>
      <c r="K51" s="25"/>
      <c r="L51" s="28"/>
      <c r="M51" s="25"/>
      <c r="N51" s="19"/>
    </row>
    <row r="52" spans="1:17" x14ac:dyDescent="0.25">
      <c r="A52" s="26"/>
      <c r="B52" s="27"/>
      <c r="C52" s="27" t="s">
        <v>89</v>
      </c>
      <c r="D52" s="27"/>
      <c r="E52" s="27"/>
      <c r="F52" s="28"/>
      <c r="G52" s="23"/>
      <c r="H52" s="23"/>
      <c r="I52" s="26" t="s">
        <v>88</v>
      </c>
      <c r="J52" s="26"/>
      <c r="M52" s="28"/>
      <c r="N52" s="30"/>
      <c r="P52" s="18"/>
      <c r="Q52" s="16"/>
    </row>
    <row r="53" spans="1:17" x14ac:dyDescent="0.25">
      <c r="A53" s="27"/>
      <c r="B53" s="27"/>
      <c r="C53" s="27" t="s">
        <v>90</v>
      </c>
      <c r="D53" s="27"/>
      <c r="E53" s="27"/>
      <c r="F53" s="27"/>
      <c r="G53" s="26"/>
      <c r="H53" s="26"/>
      <c r="I53" s="27" t="s">
        <v>91</v>
      </c>
      <c r="J53" s="27"/>
      <c r="M53" s="28"/>
      <c r="N53" s="28"/>
      <c r="P53" s="16"/>
    </row>
    <row r="54" spans="1:17" x14ac:dyDescent="0.25">
      <c r="A54" s="26"/>
      <c r="B54" s="27"/>
      <c r="C54" s="27"/>
      <c r="D54" s="27"/>
      <c r="E54" s="27"/>
      <c r="F54" s="28"/>
      <c r="G54" s="24"/>
      <c r="H54" s="24"/>
      <c r="I54" s="24"/>
      <c r="J54" s="24"/>
      <c r="K54" s="28"/>
      <c r="L54" s="28"/>
      <c r="M54" s="30"/>
      <c r="O54" s="18"/>
      <c r="P54" s="16"/>
    </row>
    <row r="55" spans="1:17" x14ac:dyDescent="0.25">
      <c r="A55" s="26"/>
      <c r="B55" s="27"/>
      <c r="C55" s="27"/>
      <c r="D55" s="27"/>
      <c r="E55" s="27"/>
      <c r="F55" s="28"/>
      <c r="G55" s="23"/>
      <c r="H55" s="23"/>
      <c r="I55" s="23"/>
      <c r="J55" s="23"/>
      <c r="K55" s="28"/>
      <c r="L55" s="28"/>
      <c r="M55" s="30"/>
      <c r="O55" s="18"/>
      <c r="P55" s="16"/>
    </row>
    <row r="56" spans="1:17" x14ac:dyDescent="0.25">
      <c r="A56" s="27"/>
      <c r="B56" s="27"/>
      <c r="C56" s="27"/>
      <c r="D56" s="27"/>
      <c r="E56" s="27"/>
      <c r="F56" s="27"/>
      <c r="G56" s="26"/>
      <c r="H56" s="26"/>
      <c r="I56" s="26"/>
      <c r="J56" s="26"/>
      <c r="K56" s="28"/>
      <c r="L56" s="28"/>
      <c r="M56" s="28"/>
      <c r="O56" s="16"/>
    </row>
    <row r="57" spans="1:17" x14ac:dyDescent="0.25">
      <c r="A57" s="27"/>
      <c r="B57" s="27"/>
      <c r="C57" s="27"/>
      <c r="D57" s="27"/>
      <c r="E57" s="28"/>
      <c r="F57" s="26"/>
      <c r="G57" s="26"/>
      <c r="H57" s="26"/>
      <c r="I57" s="26"/>
      <c r="J57" s="26"/>
      <c r="K57" s="28"/>
      <c r="L57" s="28"/>
      <c r="M57" s="28"/>
      <c r="O57" s="16"/>
    </row>
    <row r="58" spans="1:17" x14ac:dyDescent="0.25">
      <c r="A58" s="27"/>
      <c r="B58" s="27"/>
      <c r="C58" s="27"/>
      <c r="D58" s="27"/>
      <c r="E58" s="28"/>
      <c r="F58" s="26"/>
      <c r="G58" s="26"/>
      <c r="H58" s="26"/>
      <c r="I58" s="26"/>
      <c r="J58" s="26"/>
      <c r="K58" s="28"/>
      <c r="L58" s="28"/>
      <c r="M58" s="28"/>
      <c r="O58" s="16"/>
    </row>
    <row r="59" spans="1:17" x14ac:dyDescent="0.25">
      <c r="A59" s="27"/>
      <c r="B59" s="27"/>
      <c r="C59" s="27"/>
      <c r="D59" s="27"/>
      <c r="E59" s="28"/>
      <c r="F59" s="26"/>
      <c r="G59" s="24"/>
      <c r="H59" s="24"/>
      <c r="I59" s="24"/>
      <c r="J59" s="24"/>
      <c r="K59" s="28"/>
      <c r="L59" s="28"/>
      <c r="M59" s="28"/>
    </row>
    <row r="60" spans="1:17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O60" s="16"/>
    </row>
    <row r="61" spans="1:17" x14ac:dyDescent="0.25">
      <c r="A61" s="27"/>
      <c r="B61" s="27"/>
      <c r="C61" s="27"/>
      <c r="D61" s="27"/>
      <c r="E61" s="27"/>
      <c r="F61" s="24"/>
      <c r="G61" s="24"/>
      <c r="H61" s="24"/>
      <c r="I61" s="24"/>
      <c r="J61" s="24"/>
      <c r="K61" s="27"/>
      <c r="L61" s="27"/>
      <c r="M61" s="27"/>
    </row>
    <row r="62" spans="1:17" x14ac:dyDescent="0.25">
      <c r="A62" s="27"/>
      <c r="B62" s="27"/>
      <c r="C62" s="27"/>
      <c r="D62" s="27"/>
      <c r="E62" s="27"/>
      <c r="F62" s="27"/>
      <c r="G62" s="26"/>
      <c r="H62" s="26"/>
      <c r="I62" s="26"/>
      <c r="J62" s="26"/>
      <c r="K62" s="26"/>
      <c r="L62" s="27"/>
      <c r="M62" s="27"/>
    </row>
    <row r="63" spans="1:17" x14ac:dyDescent="0.25">
      <c r="A63" s="27"/>
      <c r="B63" s="27"/>
      <c r="C63" s="27"/>
      <c r="D63" s="27"/>
      <c r="E63" s="27"/>
      <c r="F63" s="27"/>
      <c r="G63" s="26"/>
      <c r="H63" s="26"/>
      <c r="I63" s="26"/>
      <c r="J63" s="26"/>
      <c r="K63" s="27"/>
      <c r="L63" s="27"/>
      <c r="M63" s="27"/>
    </row>
    <row r="64" spans="1:17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</row>
    <row r="65" spans="1:13" x14ac:dyDescent="0.25">
      <c r="A65" s="27"/>
      <c r="B65" s="27"/>
      <c r="C65" s="27"/>
      <c r="D65" s="27"/>
      <c r="E65" s="27"/>
      <c r="F65" s="27"/>
      <c r="G65" s="26"/>
      <c r="H65" s="26"/>
      <c r="I65" s="26"/>
      <c r="J65" s="26"/>
      <c r="K65" s="27"/>
      <c r="L65" s="27"/>
      <c r="M65" s="27"/>
    </row>
    <row r="66" spans="1:13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</row>
    <row r="67" spans="1:13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</row>
    <row r="68" spans="1:13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</row>
    <row r="69" spans="1:13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</row>
    <row r="70" spans="1:13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</row>
    <row r="71" spans="1:13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spans="1:13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spans="1:13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</row>
    <row r="74" spans="1:13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</row>
    <row r="75" spans="1:13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</row>
    <row r="76" spans="1:13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spans="1:13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</row>
    <row r="78" spans="1:13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</row>
    <row r="79" spans="1:13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</row>
    <row r="80" spans="1:13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</row>
    <row r="81" spans="1:13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</row>
    <row r="82" spans="1:13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</row>
    <row r="83" spans="1:13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</row>
    <row r="84" spans="1:13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</row>
    <row r="85" spans="1:13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</row>
    <row r="86" spans="1:13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</row>
    <row r="87" spans="1:13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</row>
    <row r="88" spans="1: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</row>
    <row r="89" spans="1: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</row>
    <row r="90" spans="1:13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</row>
    <row r="91" spans="1: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</row>
    <row r="92" spans="1: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</row>
    <row r="93" spans="1: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</row>
    <row r="94" spans="1:13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</row>
    <row r="95" spans="1:13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</row>
    <row r="96" spans="1:13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</row>
    <row r="97" spans="1:13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</row>
    <row r="98" spans="1:13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</row>
    <row r="99" spans="1:13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</row>
    <row r="100" spans="1:13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</row>
    <row r="101" spans="1:13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</row>
    <row r="102" spans="1:13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</row>
    <row r="103" spans="1:13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</row>
    <row r="104" spans="1:13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</row>
    <row r="105" spans="1:13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</row>
    <row r="106" spans="1:13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</row>
    <row r="107" spans="1:13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</row>
    <row r="108" spans="1:13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</row>
    <row r="109" spans="1:13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</row>
    <row r="110" spans="1:13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</row>
    <row r="111" spans="1:13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</row>
    <row r="112" spans="1:13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</row>
    <row r="113" spans="1:13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</row>
    <row r="114" spans="1:13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</row>
    <row r="115" spans="1:13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</row>
    <row r="116" spans="1:13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</row>
    <row r="117" spans="1:13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</row>
    <row r="118" spans="1:13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</row>
    <row r="119" spans="1:13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</row>
    <row r="120" spans="1:13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</row>
    <row r="121" spans="1:13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</row>
    <row r="122" spans="1:13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</row>
    <row r="123" spans="1:13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</row>
    <row r="124" spans="1:13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</row>
    <row r="125" spans="1:13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</row>
    <row r="126" spans="1:13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</row>
    <row r="127" spans="1:13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</row>
    <row r="128" spans="1:13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</row>
    <row r="129" spans="1:13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</row>
    <row r="130" spans="1:13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</row>
    <row r="131" spans="1:13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</row>
    <row r="132" spans="1:13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</row>
    <row r="133" spans="1:13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</row>
    <row r="134" spans="1:13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</row>
    <row r="135" spans="1:13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</row>
  </sheetData>
  <mergeCells count="19">
    <mergeCell ref="B46:D46"/>
    <mergeCell ref="A48:F48"/>
    <mergeCell ref="B25:D25"/>
    <mergeCell ref="B27:D27"/>
    <mergeCell ref="B28:D28"/>
    <mergeCell ref="B30:D30"/>
    <mergeCell ref="B36:D36"/>
    <mergeCell ref="B16:D16"/>
    <mergeCell ref="B19:D19"/>
    <mergeCell ref="B20:D20"/>
    <mergeCell ref="B22:D22"/>
    <mergeCell ref="B24:D24"/>
    <mergeCell ref="A5:K5"/>
    <mergeCell ref="A14:A15"/>
    <mergeCell ref="B14:D15"/>
    <mergeCell ref="E14:E15"/>
    <mergeCell ref="F14:F15"/>
    <mergeCell ref="G14:H14"/>
    <mergeCell ref="I14:J14"/>
  </mergeCells>
  <pageMargins left="0.39370078740157483" right="0.39370078740157483" top="0.98425196850393704" bottom="0.78740157480314965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opLeftCell="A22" zoomScale="75" zoomScaleNormal="75" workbookViewId="0">
      <selection activeCell="K29" sqref="K29"/>
    </sheetView>
  </sheetViews>
  <sheetFormatPr defaultRowHeight="15" x14ac:dyDescent="0.25"/>
  <cols>
    <col min="4" max="4" width="29.5703125" customWidth="1"/>
    <col min="7" max="7" width="11.42578125" customWidth="1"/>
    <col min="9" max="9" width="14.42578125" customWidth="1"/>
    <col min="10" max="10" width="13.42578125" customWidth="1"/>
    <col min="11" max="11" width="14.42578125" customWidth="1"/>
  </cols>
  <sheetData>
    <row r="1" spans="1:12" s="2" customFormat="1" ht="12.75" x14ac:dyDescent="0.25">
      <c r="A1" s="20" t="s">
        <v>26</v>
      </c>
    </row>
    <row r="2" spans="1:12" s="2" customFormat="1" ht="12.75" x14ac:dyDescent="0.25">
      <c r="A2" s="20" t="s">
        <v>27</v>
      </c>
    </row>
    <row r="3" spans="1:12" s="2" customFormat="1" ht="12.75" x14ac:dyDescent="0.25">
      <c r="A3" s="20"/>
    </row>
    <row r="4" spans="1:12" s="2" customFormat="1" ht="12.75" x14ac:dyDescent="0.25">
      <c r="A4" s="20"/>
    </row>
    <row r="5" spans="1:12" s="2" customFormat="1" ht="15" customHeight="1" x14ac:dyDescent="0.25">
      <c r="A5" s="91" t="s">
        <v>78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2" s="2" customFormat="1" ht="15" customHeight="1" x14ac:dyDescent="0.2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</row>
    <row r="7" spans="1:12" s="2" customFormat="1" ht="15" customHeight="1" x14ac:dyDescent="0.25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1:12" s="2" customFormat="1" ht="15" customHeight="1" x14ac:dyDescent="0.25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</row>
    <row r="9" spans="1:12" s="2" customFormat="1" ht="12.75" x14ac:dyDescent="0.25">
      <c r="A9" s="2" t="s">
        <v>7</v>
      </c>
    </row>
    <row r="10" spans="1:12" s="2" customFormat="1" ht="12.75" x14ac:dyDescent="0.25">
      <c r="A10" s="2" t="s">
        <v>28</v>
      </c>
      <c r="B10" s="2" t="s">
        <v>104</v>
      </c>
      <c r="L10" s="16"/>
    </row>
    <row r="11" spans="1:12" s="2" customFormat="1" ht="12.75" x14ac:dyDescent="0.25">
      <c r="A11" s="2" t="s">
        <v>99</v>
      </c>
      <c r="F11" s="2" t="s">
        <v>24</v>
      </c>
      <c r="G11" s="86">
        <v>275</v>
      </c>
      <c r="H11" s="2" t="s">
        <v>23</v>
      </c>
      <c r="I11" s="18"/>
      <c r="J11" s="18"/>
    </row>
    <row r="12" spans="1:12" s="27" customFormat="1" ht="12" customHeight="1" x14ac:dyDescent="0.25">
      <c r="A12" s="27" t="s">
        <v>20</v>
      </c>
      <c r="F12" s="2" t="s">
        <v>25</v>
      </c>
      <c r="G12" s="87">
        <v>3860</v>
      </c>
      <c r="H12" s="2" t="s">
        <v>0</v>
      </c>
      <c r="I12" s="18"/>
      <c r="J12" s="18"/>
      <c r="K12" s="2"/>
    </row>
    <row r="13" spans="1:12" s="2" customFormat="1" ht="12" customHeight="1" x14ac:dyDescent="0.25">
      <c r="A13" s="27"/>
      <c r="B13" s="27"/>
      <c r="C13" s="27"/>
      <c r="D13" s="27"/>
      <c r="E13" s="5"/>
      <c r="F13" s="5"/>
      <c r="G13" s="27"/>
      <c r="H13" s="27"/>
      <c r="I13" s="27"/>
      <c r="J13" s="27"/>
    </row>
    <row r="14" spans="1:12" s="2" customFormat="1" ht="12.75" x14ac:dyDescent="0.25">
      <c r="A14" s="92" t="s">
        <v>3</v>
      </c>
      <c r="B14" s="92" t="s">
        <v>1</v>
      </c>
      <c r="C14" s="92"/>
      <c r="D14" s="92"/>
      <c r="E14" s="92" t="s">
        <v>2</v>
      </c>
      <c r="F14" s="92" t="s">
        <v>29</v>
      </c>
      <c r="G14" s="92" t="s">
        <v>83</v>
      </c>
      <c r="H14" s="92"/>
      <c r="I14" s="92" t="s">
        <v>84</v>
      </c>
      <c r="J14" s="92"/>
      <c r="K14" s="4" t="s">
        <v>21</v>
      </c>
    </row>
    <row r="15" spans="1:12" s="2" customFormat="1" ht="12.75" x14ac:dyDescent="0.25">
      <c r="A15" s="92"/>
      <c r="B15" s="92"/>
      <c r="C15" s="92"/>
      <c r="D15" s="92"/>
      <c r="E15" s="92"/>
      <c r="F15" s="92"/>
      <c r="G15" s="4" t="s">
        <v>82</v>
      </c>
      <c r="H15" s="4" t="s">
        <v>81</v>
      </c>
      <c r="I15" s="4" t="s">
        <v>82</v>
      </c>
      <c r="J15" s="4" t="s">
        <v>81</v>
      </c>
      <c r="K15" s="4" t="s">
        <v>22</v>
      </c>
    </row>
    <row r="16" spans="1:12" s="2" customFormat="1" ht="13.5" customHeight="1" x14ac:dyDescent="0.25">
      <c r="A16" s="6"/>
      <c r="B16" s="99"/>
      <c r="C16" s="100"/>
      <c r="D16" s="100"/>
      <c r="E16" s="7"/>
      <c r="F16" s="8"/>
      <c r="G16" s="13"/>
      <c r="H16" s="13"/>
      <c r="I16" s="13"/>
      <c r="J16" s="13"/>
      <c r="K16" s="43"/>
    </row>
    <row r="17" spans="1:13" s="2" customFormat="1" ht="13.5" customHeight="1" x14ac:dyDescent="0.25">
      <c r="A17" s="9" t="s">
        <v>5</v>
      </c>
      <c r="B17" s="10" t="s">
        <v>4</v>
      </c>
      <c r="C17" s="11"/>
      <c r="D17" s="11"/>
      <c r="E17" s="12"/>
      <c r="F17" s="13"/>
      <c r="G17" s="13"/>
      <c r="H17" s="13"/>
      <c r="I17" s="13"/>
      <c r="J17" s="13"/>
      <c r="K17" s="51"/>
    </row>
    <row r="18" spans="1:13" s="2" customFormat="1" ht="13.5" customHeight="1" x14ac:dyDescent="0.25">
      <c r="A18" s="12" t="s">
        <v>45</v>
      </c>
      <c r="B18" s="66" t="s">
        <v>79</v>
      </c>
      <c r="C18" s="11"/>
      <c r="D18" s="11"/>
      <c r="E18" s="79" t="s">
        <v>0</v>
      </c>
      <c r="F18" s="13">
        <f>G12</f>
        <v>3860</v>
      </c>
      <c r="G18" s="13">
        <f>'ORC GLOBAL'!I18</f>
        <v>0.13999999999999999</v>
      </c>
      <c r="H18" s="13">
        <f>'ORC GLOBAL'!J18</f>
        <v>0.55999999999999994</v>
      </c>
      <c r="I18" s="13">
        <f>TRUNC(F18*G18,2)</f>
        <v>540.4</v>
      </c>
      <c r="J18" s="13">
        <f>TRUNC(F18*H18,2)</f>
        <v>2161.6</v>
      </c>
      <c r="K18" s="52">
        <f>TRUNC(I18+J18,2)</f>
        <v>2702</v>
      </c>
      <c r="L18" s="78"/>
      <c r="M18" s="80"/>
    </row>
    <row r="19" spans="1:13" s="2" customFormat="1" ht="13.5" customHeight="1" x14ac:dyDescent="0.25">
      <c r="A19" s="12" t="s">
        <v>46</v>
      </c>
      <c r="B19" s="93" t="s">
        <v>73</v>
      </c>
      <c r="C19" s="94"/>
      <c r="D19" s="94"/>
      <c r="E19" s="60" t="s">
        <v>64</v>
      </c>
      <c r="F19" s="13"/>
      <c r="G19" s="13">
        <f>'ORC GLOBAL'!I19</f>
        <v>0</v>
      </c>
      <c r="H19" s="13">
        <f>'ORC GLOBAL'!J19</f>
        <v>0</v>
      </c>
      <c r="I19" s="13">
        <f t="shared" ref="I19:I24" si="0">TRUNC(F19*G19,2)</f>
        <v>0</v>
      </c>
      <c r="J19" s="13">
        <f t="shared" ref="J19:J24" si="1">TRUNC(F19*H19,2)</f>
        <v>0</v>
      </c>
      <c r="K19" s="52">
        <f t="shared" ref="K19:K24" si="2">TRUNC(I19+J19,2)</f>
        <v>0</v>
      </c>
      <c r="L19" s="78"/>
      <c r="M19" s="80"/>
    </row>
    <row r="20" spans="1:13" s="2" customFormat="1" ht="13.5" customHeight="1" x14ac:dyDescent="0.25">
      <c r="A20" s="12" t="s">
        <v>47</v>
      </c>
      <c r="B20" s="93" t="s">
        <v>31</v>
      </c>
      <c r="C20" s="94"/>
      <c r="D20" s="94"/>
      <c r="E20" s="60" t="s">
        <v>64</v>
      </c>
      <c r="F20" s="13"/>
      <c r="G20" s="13">
        <f>'ORC GLOBAL'!I20</f>
        <v>0</v>
      </c>
      <c r="H20" s="13">
        <f>'ORC GLOBAL'!J20</f>
        <v>0</v>
      </c>
      <c r="I20" s="13">
        <f t="shared" si="0"/>
        <v>0</v>
      </c>
      <c r="J20" s="13">
        <f t="shared" si="1"/>
        <v>0</v>
      </c>
      <c r="K20" s="52">
        <f t="shared" si="2"/>
        <v>0</v>
      </c>
      <c r="L20" s="78"/>
      <c r="M20" s="80"/>
    </row>
    <row r="21" spans="1:13" s="2" customFormat="1" ht="13.5" customHeight="1" x14ac:dyDescent="0.25">
      <c r="A21" s="12" t="s">
        <v>48</v>
      </c>
      <c r="B21" s="14" t="s">
        <v>30</v>
      </c>
      <c r="C21" s="15"/>
      <c r="D21" s="15"/>
      <c r="E21" s="12" t="s">
        <v>0</v>
      </c>
      <c r="F21" s="13">
        <f>G12</f>
        <v>3860</v>
      </c>
      <c r="G21" s="13">
        <f>'ORC GLOBAL'!I21</f>
        <v>1.08</v>
      </c>
      <c r="H21" s="13">
        <f>'ORC GLOBAL'!J21</f>
        <v>0.27</v>
      </c>
      <c r="I21" s="13">
        <f t="shared" si="0"/>
        <v>4168.8</v>
      </c>
      <c r="J21" s="13">
        <f t="shared" si="1"/>
        <v>1042.2</v>
      </c>
      <c r="K21" s="52">
        <f t="shared" si="2"/>
        <v>5211</v>
      </c>
      <c r="L21" s="78"/>
      <c r="M21" s="80"/>
    </row>
    <row r="22" spans="1:13" s="2" customFormat="1" ht="13.5" customHeight="1" x14ac:dyDescent="0.25">
      <c r="A22" s="12" t="s">
        <v>49</v>
      </c>
      <c r="B22" s="93" t="s">
        <v>71</v>
      </c>
      <c r="C22" s="94"/>
      <c r="D22" s="94"/>
      <c r="E22" s="12" t="s">
        <v>64</v>
      </c>
      <c r="F22" s="13">
        <f>G12*0.04</f>
        <v>154.4</v>
      </c>
      <c r="G22" s="13">
        <f>'ORC GLOBAL'!I22</f>
        <v>480</v>
      </c>
      <c r="H22" s="13">
        <f>'ORC GLOBAL'!J22</f>
        <v>120</v>
      </c>
      <c r="I22" s="13">
        <f t="shared" si="0"/>
        <v>74112</v>
      </c>
      <c r="J22" s="13">
        <f t="shared" si="1"/>
        <v>18528</v>
      </c>
      <c r="K22" s="52">
        <f t="shared" si="2"/>
        <v>92640</v>
      </c>
      <c r="L22" s="78"/>
      <c r="M22" s="80"/>
    </row>
    <row r="23" spans="1:13" s="2" customFormat="1" ht="13.5" customHeight="1" x14ac:dyDescent="0.25">
      <c r="A23" s="12" t="s">
        <v>50</v>
      </c>
      <c r="B23" s="14" t="s">
        <v>30</v>
      </c>
      <c r="C23" s="15"/>
      <c r="D23" s="15"/>
      <c r="E23" s="12" t="s">
        <v>0</v>
      </c>
      <c r="F23" s="13">
        <f>F21</f>
        <v>3860</v>
      </c>
      <c r="G23" s="13">
        <f>'ORC GLOBAL'!I23</f>
        <v>1.08</v>
      </c>
      <c r="H23" s="13">
        <f>'ORC GLOBAL'!J23</f>
        <v>0.27</v>
      </c>
      <c r="I23" s="13">
        <f t="shared" si="0"/>
        <v>4168.8</v>
      </c>
      <c r="J23" s="13">
        <f t="shared" si="1"/>
        <v>1042.2</v>
      </c>
      <c r="K23" s="52">
        <f t="shared" si="2"/>
        <v>5211</v>
      </c>
      <c r="L23" s="78"/>
      <c r="M23" s="80"/>
    </row>
    <row r="24" spans="1:13" s="2" customFormat="1" ht="13.5" customHeight="1" x14ac:dyDescent="0.25">
      <c r="A24" s="12" t="s">
        <v>80</v>
      </c>
      <c r="B24" s="93" t="s">
        <v>72</v>
      </c>
      <c r="C24" s="94"/>
      <c r="D24" s="94"/>
      <c r="E24" s="12" t="s">
        <v>64</v>
      </c>
      <c r="F24" s="13">
        <f>G12*0.04</f>
        <v>154.4</v>
      </c>
      <c r="G24" s="13">
        <f>'ORC GLOBAL'!I24</f>
        <v>480</v>
      </c>
      <c r="H24" s="13">
        <f>'ORC GLOBAL'!J24</f>
        <v>120</v>
      </c>
      <c r="I24" s="13">
        <f t="shared" si="0"/>
        <v>74112</v>
      </c>
      <c r="J24" s="13">
        <f t="shared" si="1"/>
        <v>18528</v>
      </c>
      <c r="K24" s="52">
        <f t="shared" si="2"/>
        <v>92640</v>
      </c>
      <c r="L24" s="78"/>
      <c r="M24" s="80"/>
    </row>
    <row r="25" spans="1:13" s="2" customFormat="1" ht="13.5" customHeight="1" x14ac:dyDescent="0.25">
      <c r="A25" s="12"/>
      <c r="B25" s="95" t="s">
        <v>66</v>
      </c>
      <c r="C25" s="96"/>
      <c r="D25" s="96"/>
      <c r="E25" s="61"/>
      <c r="F25" s="13"/>
      <c r="G25" s="13">
        <f>'ORC GLOBAL'!I25</f>
        <v>0</v>
      </c>
      <c r="H25" s="13">
        <f>'ORC GLOBAL'!J25</f>
        <v>0</v>
      </c>
      <c r="I25" s="84">
        <f>SUM(I18:I24)</f>
        <v>157102</v>
      </c>
      <c r="J25" s="84">
        <f>SUM(J18:J24)</f>
        <v>41302</v>
      </c>
      <c r="K25" s="84">
        <f>SUM(K18:K24)</f>
        <v>198404</v>
      </c>
      <c r="L25" s="78"/>
      <c r="M25" s="80"/>
    </row>
    <row r="26" spans="1:13" s="2" customFormat="1" ht="13.5" customHeight="1" x14ac:dyDescent="0.25">
      <c r="A26" s="12"/>
      <c r="B26" s="58"/>
      <c r="C26" s="59"/>
      <c r="D26" s="59"/>
      <c r="E26" s="61"/>
      <c r="F26" s="13"/>
      <c r="G26" s="13">
        <f>'ORC GLOBAL'!I26</f>
        <v>0</v>
      </c>
      <c r="H26" s="13">
        <f>'ORC GLOBAL'!J26</f>
        <v>0</v>
      </c>
      <c r="I26" s="13"/>
      <c r="J26" s="13"/>
      <c r="K26" s="52"/>
      <c r="L26" s="78"/>
      <c r="M26" s="80"/>
    </row>
    <row r="27" spans="1:13" s="2" customFormat="1" ht="13.5" customHeight="1" x14ac:dyDescent="0.25">
      <c r="A27" s="9" t="s">
        <v>51</v>
      </c>
      <c r="B27" s="101" t="s">
        <v>33</v>
      </c>
      <c r="C27" s="102"/>
      <c r="D27" s="102"/>
      <c r="E27" s="61"/>
      <c r="F27" s="13"/>
      <c r="G27" s="13">
        <f>'ORC GLOBAL'!I27</f>
        <v>0</v>
      </c>
      <c r="H27" s="13">
        <f>'ORC GLOBAL'!J27</f>
        <v>0</v>
      </c>
      <c r="I27" s="13"/>
      <c r="J27" s="13"/>
      <c r="K27" s="52"/>
      <c r="L27" s="78"/>
      <c r="M27" s="80"/>
    </row>
    <row r="28" spans="1:13" s="2" customFormat="1" ht="13.5" customHeight="1" x14ac:dyDescent="0.25">
      <c r="A28" s="12" t="s">
        <v>52</v>
      </c>
      <c r="B28" s="93" t="s">
        <v>32</v>
      </c>
      <c r="C28" s="94"/>
      <c r="D28" s="94"/>
      <c r="E28" s="61" t="s">
        <v>64</v>
      </c>
      <c r="F28" s="13">
        <f>(F31+F32+F33)*1.5*0.6</f>
        <v>358.2</v>
      </c>
      <c r="G28" s="13">
        <f>'ORC GLOBAL'!I28</f>
        <v>9.6839999999999993</v>
      </c>
      <c r="H28" s="13">
        <f>'ORC GLOBAL'!J28</f>
        <v>6.4560000000000013</v>
      </c>
      <c r="I28" s="13">
        <f t="shared" ref="I28:I35" si="3">TRUNC(F28*G28,2)</f>
        <v>3468.8</v>
      </c>
      <c r="J28" s="13">
        <f t="shared" ref="J28:J35" si="4">TRUNC(F28*H28,2)</f>
        <v>2312.5300000000002</v>
      </c>
      <c r="K28" s="52">
        <f t="shared" ref="K28:K44" si="5">TRUNC(I28+J28,2)</f>
        <v>5781.33</v>
      </c>
      <c r="L28" s="78"/>
      <c r="M28" s="80"/>
    </row>
    <row r="29" spans="1:13" s="2" customFormat="1" ht="13.5" customHeight="1" x14ac:dyDescent="0.25">
      <c r="A29" s="12" t="s">
        <v>76</v>
      </c>
      <c r="B29" s="58" t="s">
        <v>38</v>
      </c>
      <c r="C29" s="59"/>
      <c r="D29" s="59"/>
      <c r="E29" s="62" t="s">
        <v>23</v>
      </c>
      <c r="F29" s="13"/>
      <c r="G29" s="13">
        <f>'ORC GLOBAL'!I29</f>
        <v>13.456000000000001</v>
      </c>
      <c r="H29" s="13">
        <f>'ORC GLOBAL'!J29</f>
        <v>3.363999999999999</v>
      </c>
      <c r="I29" s="13">
        <f t="shared" si="3"/>
        <v>0</v>
      </c>
      <c r="J29" s="13">
        <f t="shared" si="4"/>
        <v>0</v>
      </c>
      <c r="K29" s="52">
        <f t="shared" si="5"/>
        <v>0</v>
      </c>
      <c r="L29" s="78"/>
      <c r="M29" s="80"/>
    </row>
    <row r="30" spans="1:13" s="2" customFormat="1" ht="13.5" customHeight="1" x14ac:dyDescent="0.25">
      <c r="A30" s="12" t="s">
        <v>53</v>
      </c>
      <c r="B30" s="93" t="s">
        <v>35</v>
      </c>
      <c r="C30" s="94"/>
      <c r="D30" s="94"/>
      <c r="E30" s="62" t="s">
        <v>64</v>
      </c>
      <c r="F30" s="13">
        <f>(F28*1.3)-((F31+F32)*0.4*0.4)</f>
        <v>409.98</v>
      </c>
      <c r="G30" s="13">
        <f>'ORC GLOBAL'!I30</f>
        <v>3.7439999999999998</v>
      </c>
      <c r="H30" s="13">
        <f>'ORC GLOBAL'!J30</f>
        <v>0.93599999999999994</v>
      </c>
      <c r="I30" s="13">
        <f t="shared" si="3"/>
        <v>1534.96</v>
      </c>
      <c r="J30" s="13">
        <f t="shared" si="4"/>
        <v>383.74</v>
      </c>
      <c r="K30" s="52">
        <f t="shared" si="5"/>
        <v>1918.7</v>
      </c>
      <c r="L30" s="78"/>
      <c r="M30" s="80"/>
    </row>
    <row r="31" spans="1:13" s="2" customFormat="1" ht="13.5" customHeight="1" x14ac:dyDescent="0.25">
      <c r="A31" s="12" t="s">
        <v>77</v>
      </c>
      <c r="B31" s="63" t="s">
        <v>34</v>
      </c>
      <c r="C31" s="64"/>
      <c r="D31" s="64"/>
      <c r="E31" s="60" t="s">
        <v>23</v>
      </c>
      <c r="F31" s="13">
        <v>74</v>
      </c>
      <c r="G31" s="13">
        <f>'ORC GLOBAL'!I31</f>
        <v>36.4</v>
      </c>
      <c r="H31" s="13">
        <f>'ORC GLOBAL'!J31</f>
        <v>9.1000000000000014</v>
      </c>
      <c r="I31" s="13">
        <f t="shared" si="3"/>
        <v>2693.6</v>
      </c>
      <c r="J31" s="13">
        <f t="shared" si="4"/>
        <v>673.4</v>
      </c>
      <c r="K31" s="52">
        <f t="shared" si="5"/>
        <v>3367</v>
      </c>
      <c r="L31" s="78"/>
      <c r="M31" s="80"/>
    </row>
    <row r="32" spans="1:13" s="2" customFormat="1" ht="13.5" customHeight="1" x14ac:dyDescent="0.25">
      <c r="A32" s="12" t="s">
        <v>54</v>
      </c>
      <c r="B32" s="63" t="s">
        <v>37</v>
      </c>
      <c r="C32" s="64"/>
      <c r="D32" s="64"/>
      <c r="E32" s="60" t="s">
        <v>23</v>
      </c>
      <c r="F32" s="13">
        <v>274</v>
      </c>
      <c r="G32" s="13">
        <f>'ORC GLOBAL'!I32</f>
        <v>44.800000000000004</v>
      </c>
      <c r="H32" s="13">
        <f>'ORC GLOBAL'!J32</f>
        <v>11.199999999999996</v>
      </c>
      <c r="I32" s="13">
        <f t="shared" si="3"/>
        <v>12275.2</v>
      </c>
      <c r="J32" s="13">
        <f t="shared" si="4"/>
        <v>3068.8</v>
      </c>
      <c r="K32" s="52">
        <f t="shared" si="5"/>
        <v>15344</v>
      </c>
      <c r="L32" s="78"/>
      <c r="M32" s="80"/>
    </row>
    <row r="33" spans="1:15" s="2" customFormat="1" ht="13.5" customHeight="1" x14ac:dyDescent="0.25">
      <c r="A33" s="12" t="s">
        <v>55</v>
      </c>
      <c r="B33" s="63" t="s">
        <v>75</v>
      </c>
      <c r="C33" s="64"/>
      <c r="D33" s="64"/>
      <c r="E33" s="60" t="s">
        <v>23</v>
      </c>
      <c r="F33" s="13">
        <v>50</v>
      </c>
      <c r="G33" s="13">
        <f>'ORC GLOBAL'!I33</f>
        <v>56</v>
      </c>
      <c r="H33" s="13">
        <f>'ORC GLOBAL'!J33</f>
        <v>14</v>
      </c>
      <c r="I33" s="13">
        <f t="shared" si="3"/>
        <v>2800</v>
      </c>
      <c r="J33" s="13">
        <f t="shared" si="4"/>
        <v>700</v>
      </c>
      <c r="K33" s="52">
        <f t="shared" si="5"/>
        <v>3500</v>
      </c>
      <c r="L33" s="78"/>
      <c r="M33" s="80"/>
    </row>
    <row r="34" spans="1:15" s="2" customFormat="1" ht="13.5" customHeight="1" x14ac:dyDescent="0.25">
      <c r="A34" s="12" t="s">
        <v>56</v>
      </c>
      <c r="B34" s="66" t="s">
        <v>36</v>
      </c>
      <c r="C34" s="64"/>
      <c r="D34" s="64"/>
      <c r="E34" s="12" t="s">
        <v>65</v>
      </c>
      <c r="F34" s="13">
        <v>11</v>
      </c>
      <c r="G34" s="13">
        <f>'ORC GLOBAL'!I34</f>
        <v>552.03200000000004</v>
      </c>
      <c r="H34" s="13">
        <f>'ORC GLOBAL'!J34</f>
        <v>138.00799999999992</v>
      </c>
      <c r="I34" s="13">
        <f t="shared" si="3"/>
        <v>6072.35</v>
      </c>
      <c r="J34" s="13">
        <f t="shared" si="4"/>
        <v>1518.08</v>
      </c>
      <c r="K34" s="52">
        <f t="shared" si="5"/>
        <v>7590.43</v>
      </c>
      <c r="L34" s="78"/>
      <c r="M34" s="80"/>
      <c r="N34" s="78"/>
    </row>
    <row r="35" spans="1:15" s="2" customFormat="1" ht="13.5" customHeight="1" x14ac:dyDescent="0.25">
      <c r="A35" s="12" t="s">
        <v>57</v>
      </c>
      <c r="B35" s="66" t="s">
        <v>74</v>
      </c>
      <c r="C35" s="17"/>
      <c r="D35" s="17"/>
      <c r="E35" s="12" t="s">
        <v>65</v>
      </c>
      <c r="F35" s="13">
        <v>2</v>
      </c>
      <c r="G35" s="13">
        <f>'ORC GLOBAL'!I35</f>
        <v>662.4384</v>
      </c>
      <c r="H35" s="13">
        <f>'ORC GLOBAL'!J35</f>
        <v>165.60959999999989</v>
      </c>
      <c r="I35" s="13">
        <f t="shared" si="3"/>
        <v>1324.87</v>
      </c>
      <c r="J35" s="13">
        <f t="shared" si="4"/>
        <v>331.21</v>
      </c>
      <c r="K35" s="52">
        <f t="shared" si="5"/>
        <v>1656.08</v>
      </c>
      <c r="L35" s="78"/>
      <c r="M35" s="80"/>
    </row>
    <row r="36" spans="1:15" s="2" customFormat="1" ht="13.5" customHeight="1" x14ac:dyDescent="0.25">
      <c r="A36" s="12"/>
      <c r="B36" s="95" t="s">
        <v>67</v>
      </c>
      <c r="C36" s="96"/>
      <c r="D36" s="96"/>
      <c r="E36" s="12"/>
      <c r="F36" s="13"/>
      <c r="G36" s="13">
        <f>'ORC GLOBAL'!I36</f>
        <v>0</v>
      </c>
      <c r="H36" s="13">
        <f>'ORC GLOBAL'!J36</f>
        <v>0</v>
      </c>
      <c r="I36" s="84">
        <f>SUM(I28:I35)</f>
        <v>30169.780000000002</v>
      </c>
      <c r="J36" s="84">
        <f>SUM(J28:J35)</f>
        <v>8987.76</v>
      </c>
      <c r="K36" s="84">
        <f>SUM(K28:K35)</f>
        <v>39157.54</v>
      </c>
      <c r="L36" s="78"/>
      <c r="M36" s="80"/>
    </row>
    <row r="37" spans="1:15" s="2" customFormat="1" ht="13.5" customHeight="1" x14ac:dyDescent="0.25">
      <c r="A37" s="12"/>
      <c r="B37" s="66"/>
      <c r="C37" s="17"/>
      <c r="D37" s="17"/>
      <c r="E37" s="12"/>
      <c r="F37" s="13"/>
      <c r="G37" s="13">
        <f>'ORC GLOBAL'!I37</f>
        <v>0</v>
      </c>
      <c r="H37" s="13">
        <f>'ORC GLOBAL'!J37</f>
        <v>0</v>
      </c>
      <c r="I37" s="13"/>
      <c r="J37" s="13"/>
      <c r="K37" s="52"/>
      <c r="L37" s="78"/>
      <c r="M37" s="80"/>
    </row>
    <row r="38" spans="1:15" s="2" customFormat="1" ht="13.5" customHeight="1" x14ac:dyDescent="0.25">
      <c r="A38" s="9" t="s">
        <v>58</v>
      </c>
      <c r="B38" s="10" t="s">
        <v>39</v>
      </c>
      <c r="C38" s="17"/>
      <c r="D38" s="17"/>
      <c r="E38" s="12"/>
      <c r="F38" s="13"/>
      <c r="G38" s="13">
        <f>'ORC GLOBAL'!I38</f>
        <v>0</v>
      </c>
      <c r="H38" s="13">
        <f>'ORC GLOBAL'!J38</f>
        <v>0</v>
      </c>
      <c r="I38" s="13"/>
      <c r="J38" s="13"/>
      <c r="K38" s="52"/>
      <c r="L38" s="78"/>
      <c r="M38" s="80"/>
    </row>
    <row r="39" spans="1:15" s="2" customFormat="1" ht="13.5" customHeight="1" x14ac:dyDescent="0.25">
      <c r="A39" s="12" t="s">
        <v>59</v>
      </c>
      <c r="B39" s="66" t="s">
        <v>40</v>
      </c>
      <c r="C39" s="17"/>
      <c r="D39" s="17"/>
      <c r="E39" s="12" t="s">
        <v>0</v>
      </c>
      <c r="F39" s="13">
        <f>275*0.1*2</f>
        <v>55</v>
      </c>
      <c r="G39" s="13">
        <f>'ORC GLOBAL'!I39</f>
        <v>13.984000000000002</v>
      </c>
      <c r="H39" s="13">
        <f>'ORC GLOBAL'!J39</f>
        <v>3.4959999999999987</v>
      </c>
      <c r="I39" s="13">
        <f t="shared" ref="I39:I44" si="6">TRUNC(F39*G39,2)</f>
        <v>769.12</v>
      </c>
      <c r="J39" s="13">
        <f t="shared" ref="J39:J44" si="7">TRUNC(F39*H39,2)</f>
        <v>192.28</v>
      </c>
      <c r="K39" s="52">
        <f t="shared" si="5"/>
        <v>961.4</v>
      </c>
      <c r="L39" s="78"/>
      <c r="M39" s="80"/>
    </row>
    <row r="40" spans="1:15" s="2" customFormat="1" ht="13.5" customHeight="1" x14ac:dyDescent="0.25">
      <c r="A40" s="12" t="s">
        <v>60</v>
      </c>
      <c r="B40" s="66" t="s">
        <v>41</v>
      </c>
      <c r="C40" s="17"/>
      <c r="D40" s="17"/>
      <c r="E40" s="12" t="s">
        <v>0</v>
      </c>
      <c r="F40" s="13">
        <f>275*0.2</f>
        <v>55</v>
      </c>
      <c r="G40" s="13">
        <f>'ORC GLOBAL'!I40</f>
        <v>13.984000000000002</v>
      </c>
      <c r="H40" s="13">
        <f>'ORC GLOBAL'!J40</f>
        <v>3.4959999999999987</v>
      </c>
      <c r="I40" s="13">
        <f t="shared" si="6"/>
        <v>769.12</v>
      </c>
      <c r="J40" s="13">
        <f t="shared" si="7"/>
        <v>192.28</v>
      </c>
      <c r="K40" s="52">
        <f t="shared" si="5"/>
        <v>961.4</v>
      </c>
      <c r="L40" s="78"/>
      <c r="M40" s="80"/>
    </row>
    <row r="41" spans="1:15" s="2" customFormat="1" ht="13.5" customHeight="1" x14ac:dyDescent="0.25">
      <c r="A41" s="12" t="s">
        <v>61</v>
      </c>
      <c r="B41" s="66" t="s">
        <v>42</v>
      </c>
      <c r="C41" s="17"/>
      <c r="D41" s="17"/>
      <c r="E41" s="12" t="s">
        <v>0</v>
      </c>
      <c r="F41" s="13">
        <f>(2.5*15/2*4)</f>
        <v>75</v>
      </c>
      <c r="G41" s="13">
        <f>'ORC GLOBAL'!I41</f>
        <v>13.984000000000002</v>
      </c>
      <c r="H41" s="13">
        <f>'ORC GLOBAL'!J41</f>
        <v>3.4959999999999987</v>
      </c>
      <c r="I41" s="13">
        <f t="shared" si="6"/>
        <v>1048.8</v>
      </c>
      <c r="J41" s="13">
        <f t="shared" si="7"/>
        <v>262.2</v>
      </c>
      <c r="K41" s="52">
        <f t="shared" si="5"/>
        <v>1311</v>
      </c>
      <c r="L41" s="78"/>
      <c r="M41" s="80"/>
    </row>
    <row r="42" spans="1:15" s="2" customFormat="1" ht="13.5" customHeight="1" x14ac:dyDescent="0.25">
      <c r="A42" s="12" t="s">
        <v>62</v>
      </c>
      <c r="B42" s="66" t="s">
        <v>43</v>
      </c>
      <c r="C42" s="17"/>
      <c r="D42" s="17"/>
      <c r="E42" s="12" t="s">
        <v>65</v>
      </c>
      <c r="F42" s="13">
        <v>2</v>
      </c>
      <c r="G42" s="13">
        <f>'ORC GLOBAL'!I42</f>
        <v>154.80000000000001</v>
      </c>
      <c r="H42" s="13">
        <f>'ORC GLOBAL'!J42</f>
        <v>38.699999999999989</v>
      </c>
      <c r="I42" s="13">
        <f t="shared" si="6"/>
        <v>309.60000000000002</v>
      </c>
      <c r="J42" s="13">
        <f t="shared" si="7"/>
        <v>77.400000000000006</v>
      </c>
      <c r="K42" s="52">
        <f t="shared" si="5"/>
        <v>387</v>
      </c>
      <c r="L42" s="78"/>
      <c r="M42" s="80"/>
    </row>
    <row r="43" spans="1:15" s="2" customFormat="1" ht="13.5" customHeight="1" x14ac:dyDescent="0.25">
      <c r="A43" s="12" t="s">
        <v>63</v>
      </c>
      <c r="B43" s="66" t="s">
        <v>70</v>
      </c>
      <c r="C43" s="17"/>
      <c r="D43" s="17"/>
      <c r="E43" s="12" t="s">
        <v>65</v>
      </c>
      <c r="F43" s="13">
        <v>1</v>
      </c>
      <c r="G43" s="13">
        <f>'ORC GLOBAL'!I43</f>
        <v>154.80000000000001</v>
      </c>
      <c r="H43" s="13">
        <f>'ORC GLOBAL'!J43</f>
        <v>38.699999999999989</v>
      </c>
      <c r="I43" s="13">
        <f t="shared" si="6"/>
        <v>154.80000000000001</v>
      </c>
      <c r="J43" s="13">
        <f t="shared" si="7"/>
        <v>38.700000000000003</v>
      </c>
      <c r="K43" s="52">
        <f t="shared" si="5"/>
        <v>193.5</v>
      </c>
      <c r="L43" s="78"/>
      <c r="M43" s="80"/>
    </row>
    <row r="44" spans="1:15" s="2" customFormat="1" ht="13.5" customHeight="1" x14ac:dyDescent="0.25">
      <c r="A44" s="12" t="s">
        <v>69</v>
      </c>
      <c r="B44" s="66" t="s">
        <v>44</v>
      </c>
      <c r="C44" s="17"/>
      <c r="D44" s="17"/>
      <c r="E44" s="12" t="s">
        <v>0</v>
      </c>
      <c r="F44" s="13"/>
      <c r="G44" s="13">
        <f>'ORC GLOBAL'!I44</f>
        <v>390.048</v>
      </c>
      <c r="H44" s="13">
        <f>'ORC GLOBAL'!J44</f>
        <v>97.512</v>
      </c>
      <c r="I44" s="13">
        <f t="shared" si="6"/>
        <v>0</v>
      </c>
      <c r="J44" s="13">
        <f t="shared" si="7"/>
        <v>0</v>
      </c>
      <c r="K44" s="52">
        <f t="shared" si="5"/>
        <v>0</v>
      </c>
      <c r="L44" s="78"/>
      <c r="M44" s="80"/>
    </row>
    <row r="45" spans="1:15" s="2" customFormat="1" ht="13.5" customHeight="1" x14ac:dyDescent="0.25">
      <c r="A45" s="12" t="s">
        <v>85</v>
      </c>
      <c r="B45" s="66" t="s">
        <v>86</v>
      </c>
      <c r="C45" s="17"/>
      <c r="D45" s="17"/>
      <c r="E45" s="12" t="s">
        <v>65</v>
      </c>
      <c r="F45" s="13">
        <v>8</v>
      </c>
      <c r="G45" s="13">
        <f>'ORC GLOBAL'!I45</f>
        <v>130.66199999999998</v>
      </c>
      <c r="H45" s="13">
        <f>'ORC GLOBAL'!J45</f>
        <v>55.998000000000019</v>
      </c>
      <c r="I45" s="13">
        <f>TRUNC(F45*G45,2)</f>
        <v>1045.29</v>
      </c>
      <c r="J45" s="13">
        <f>TRUNC(F45*H45,2)</f>
        <v>447.98</v>
      </c>
      <c r="K45" s="52">
        <f>TRUNC(I45+J45,2)</f>
        <v>1493.27</v>
      </c>
      <c r="L45" s="78"/>
      <c r="M45" s="80"/>
    </row>
    <row r="46" spans="1:15" s="2" customFormat="1" ht="13.5" customHeight="1" x14ac:dyDescent="0.25">
      <c r="A46" s="12"/>
      <c r="B46" s="95" t="s">
        <v>68</v>
      </c>
      <c r="C46" s="96"/>
      <c r="D46" s="96"/>
      <c r="E46" s="12"/>
      <c r="F46" s="13"/>
      <c r="G46" s="13"/>
      <c r="H46" s="13"/>
      <c r="I46" s="84">
        <f>SUM(I39:I45)</f>
        <v>4096.7299999999996</v>
      </c>
      <c r="J46" s="84">
        <f>SUM(J39:J45)</f>
        <v>1210.8400000000001</v>
      </c>
      <c r="K46" s="84">
        <f>SUM(K39:K45)</f>
        <v>5307.57</v>
      </c>
      <c r="L46" s="78"/>
      <c r="M46" s="80"/>
    </row>
    <row r="47" spans="1:15" s="2" customFormat="1" ht="12.75" x14ac:dyDescent="0.25">
      <c r="A47" s="21"/>
      <c r="B47" s="67"/>
      <c r="C47" s="68"/>
      <c r="D47" s="68"/>
      <c r="E47" s="21"/>
      <c r="F47" s="22"/>
      <c r="G47" s="83"/>
      <c r="H47" s="83"/>
      <c r="I47" s="83"/>
      <c r="J47" s="83"/>
      <c r="K47" s="53"/>
      <c r="L47" s="78"/>
      <c r="M47" s="80"/>
      <c r="N47" s="16"/>
      <c r="O47" s="16"/>
    </row>
    <row r="48" spans="1:15" s="2" customFormat="1" ht="17.25" customHeight="1" x14ac:dyDescent="0.25">
      <c r="A48" s="97" t="s">
        <v>6</v>
      </c>
      <c r="B48" s="98"/>
      <c r="C48" s="98"/>
      <c r="D48" s="98"/>
      <c r="E48" s="98"/>
      <c r="F48" s="98"/>
      <c r="G48" s="82"/>
      <c r="H48" s="82"/>
      <c r="I48" s="85">
        <f>I46+I36+I25</f>
        <v>191368.51</v>
      </c>
      <c r="J48" s="85">
        <f>J46+J36+J25</f>
        <v>51500.6</v>
      </c>
      <c r="K48" s="85">
        <f>K46+K36+K25</f>
        <v>242869.11</v>
      </c>
      <c r="L48" s="78"/>
      <c r="M48" s="80"/>
      <c r="N48" s="16"/>
      <c r="O48" s="16"/>
    </row>
    <row r="49" spans="1:17" s="20" customFormat="1" ht="12.75" x14ac:dyDescent="0.25">
      <c r="A49" s="23"/>
      <c r="B49" s="23"/>
      <c r="C49" s="23"/>
      <c r="D49" s="24"/>
      <c r="E49" s="23"/>
      <c r="F49" s="23"/>
      <c r="G49" s="23"/>
      <c r="H49" s="23"/>
      <c r="I49" s="23"/>
      <c r="J49" s="23"/>
      <c r="K49" s="25"/>
      <c r="L49" s="25"/>
      <c r="M49" s="25"/>
      <c r="N49" s="19"/>
      <c r="O49" s="19"/>
    </row>
    <row r="50" spans="1:17" s="2" customFormat="1" ht="12.75" x14ac:dyDescent="0.25">
      <c r="A50" s="26"/>
      <c r="B50" s="27"/>
      <c r="C50" s="27"/>
      <c r="D50" s="27"/>
      <c r="E50" s="27"/>
      <c r="F50" s="28"/>
      <c r="G50" s="27"/>
      <c r="H50" s="27"/>
      <c r="I50" s="27"/>
      <c r="J50" s="27"/>
      <c r="K50" s="28"/>
      <c r="L50" s="28"/>
      <c r="M50" s="28"/>
      <c r="N50" s="16"/>
    </row>
    <row r="51" spans="1:17" s="20" customFormat="1" ht="12.75" customHeight="1" x14ac:dyDescent="0.3">
      <c r="A51" s="26"/>
      <c r="B51" s="23"/>
      <c r="C51" s="29"/>
      <c r="D51" s="24"/>
      <c r="E51" s="27"/>
      <c r="F51" s="28"/>
      <c r="G51" s="26"/>
      <c r="H51" s="26"/>
      <c r="I51" s="26"/>
      <c r="J51" s="26"/>
      <c r="K51" s="25"/>
      <c r="L51" s="28"/>
      <c r="M51" s="25"/>
      <c r="N51" s="19"/>
    </row>
    <row r="52" spans="1:17" s="2" customFormat="1" ht="12.75" x14ac:dyDescent="0.25">
      <c r="A52" s="26"/>
      <c r="B52" s="27"/>
      <c r="C52" s="27" t="s">
        <v>89</v>
      </c>
      <c r="D52" s="27"/>
      <c r="E52" s="27"/>
      <c r="F52" s="28"/>
      <c r="G52" s="23"/>
      <c r="H52" s="23"/>
      <c r="I52" s="26" t="s">
        <v>88</v>
      </c>
      <c r="J52" s="26"/>
      <c r="M52" s="28"/>
      <c r="N52" s="30"/>
      <c r="P52" s="18"/>
      <c r="Q52" s="16"/>
    </row>
    <row r="53" spans="1:17" s="2" customFormat="1" ht="12.75" x14ac:dyDescent="0.25">
      <c r="A53" s="27"/>
      <c r="B53" s="27"/>
      <c r="C53" s="27" t="s">
        <v>90</v>
      </c>
      <c r="D53" s="27"/>
      <c r="E53" s="27"/>
      <c r="F53" s="27"/>
      <c r="G53" s="26"/>
      <c r="H53" s="26"/>
      <c r="I53" s="27" t="s">
        <v>91</v>
      </c>
      <c r="J53" s="27"/>
      <c r="M53" s="28"/>
      <c r="N53" s="28"/>
      <c r="P53" s="16"/>
    </row>
    <row r="54" spans="1:17" s="2" customFormat="1" ht="12.75" x14ac:dyDescent="0.25">
      <c r="A54" s="26"/>
      <c r="B54" s="27"/>
      <c r="C54" s="27"/>
      <c r="D54" s="27"/>
      <c r="E54" s="27"/>
      <c r="F54" s="28"/>
      <c r="G54" s="24"/>
      <c r="H54" s="24"/>
      <c r="I54" s="24"/>
      <c r="J54" s="24"/>
      <c r="K54" s="28"/>
      <c r="L54" s="28"/>
      <c r="M54" s="30"/>
      <c r="O54" s="18"/>
      <c r="P54" s="16"/>
    </row>
  </sheetData>
  <mergeCells count="19">
    <mergeCell ref="B46:D46"/>
    <mergeCell ref="A48:F48"/>
    <mergeCell ref="B25:D25"/>
    <mergeCell ref="B27:D27"/>
    <mergeCell ref="B28:D28"/>
    <mergeCell ref="B30:D30"/>
    <mergeCell ref="B36:D36"/>
    <mergeCell ref="B16:D16"/>
    <mergeCell ref="B19:D19"/>
    <mergeCell ref="B20:D20"/>
    <mergeCell ref="B22:D22"/>
    <mergeCell ref="B24:D24"/>
    <mergeCell ref="A5:K5"/>
    <mergeCell ref="A14:A15"/>
    <mergeCell ref="B14:D15"/>
    <mergeCell ref="E14:E15"/>
    <mergeCell ref="F14:F15"/>
    <mergeCell ref="G14:H14"/>
    <mergeCell ref="I14:J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opLeftCell="A10" zoomScale="75" zoomScaleNormal="75" workbookViewId="0">
      <selection activeCell="K29" sqref="K29"/>
    </sheetView>
  </sheetViews>
  <sheetFormatPr defaultRowHeight="15" x14ac:dyDescent="0.25"/>
  <cols>
    <col min="4" max="4" width="29.28515625" customWidth="1"/>
    <col min="7" max="7" width="11.7109375" customWidth="1"/>
    <col min="9" max="9" width="14.85546875" customWidth="1"/>
    <col min="10" max="10" width="15.28515625" customWidth="1"/>
    <col min="11" max="11" width="15.140625" customWidth="1"/>
  </cols>
  <sheetData>
    <row r="1" spans="1:12" s="2" customFormat="1" ht="12.75" x14ac:dyDescent="0.25">
      <c r="A1" s="20" t="s">
        <v>26</v>
      </c>
    </row>
    <row r="2" spans="1:12" s="2" customFormat="1" ht="12.75" x14ac:dyDescent="0.25">
      <c r="A2" s="20" t="s">
        <v>27</v>
      </c>
    </row>
    <row r="3" spans="1:12" s="2" customFormat="1" ht="12.75" x14ac:dyDescent="0.25">
      <c r="A3" s="20"/>
    </row>
    <row r="4" spans="1:12" s="2" customFormat="1" ht="12.75" x14ac:dyDescent="0.25">
      <c r="A4" s="20"/>
    </row>
    <row r="5" spans="1:12" s="2" customFormat="1" ht="15" customHeight="1" x14ac:dyDescent="0.25">
      <c r="A5" s="91" t="s">
        <v>78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2" s="2" customFormat="1" ht="15" customHeight="1" x14ac:dyDescent="0.2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</row>
    <row r="7" spans="1:12" s="2" customFormat="1" ht="15" customHeight="1" x14ac:dyDescent="0.25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1:12" s="2" customFormat="1" ht="15" customHeight="1" x14ac:dyDescent="0.25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</row>
    <row r="9" spans="1:12" s="2" customFormat="1" ht="12.75" x14ac:dyDescent="0.25">
      <c r="A9" s="2" t="s">
        <v>7</v>
      </c>
    </row>
    <row r="10" spans="1:12" s="2" customFormat="1" ht="12.75" x14ac:dyDescent="0.25">
      <c r="A10" s="2" t="s">
        <v>28</v>
      </c>
      <c r="B10" s="2" t="s">
        <v>98</v>
      </c>
      <c r="L10" s="16"/>
    </row>
    <row r="11" spans="1:12" s="2" customFormat="1" ht="12.75" x14ac:dyDescent="0.25">
      <c r="A11" s="2" t="s">
        <v>99</v>
      </c>
      <c r="F11" s="2" t="s">
        <v>24</v>
      </c>
      <c r="G11" s="86">
        <v>1023</v>
      </c>
      <c r="H11" s="2" t="s">
        <v>23</v>
      </c>
      <c r="I11" s="18"/>
      <c r="J11" s="18"/>
    </row>
    <row r="12" spans="1:12" s="27" customFormat="1" ht="12" customHeight="1" x14ac:dyDescent="0.25">
      <c r="A12" s="27" t="s">
        <v>20</v>
      </c>
      <c r="F12" s="2" t="s">
        <v>25</v>
      </c>
      <c r="G12" s="87">
        <v>14348.86</v>
      </c>
      <c r="H12" s="2" t="s">
        <v>0</v>
      </c>
      <c r="I12" s="18"/>
      <c r="J12" s="18"/>
      <c r="K12" s="2"/>
    </row>
    <row r="13" spans="1:12" s="2" customFormat="1" ht="12" customHeight="1" x14ac:dyDescent="0.25">
      <c r="A13" s="27"/>
      <c r="B13" s="27"/>
      <c r="C13" s="27"/>
      <c r="D13" s="27"/>
      <c r="E13" s="5"/>
      <c r="F13" s="5"/>
      <c r="G13" s="27"/>
      <c r="H13" s="27"/>
      <c r="I13" s="27"/>
      <c r="J13" s="27"/>
    </row>
    <row r="14" spans="1:12" s="2" customFormat="1" ht="12.75" x14ac:dyDescent="0.25">
      <c r="A14" s="92" t="s">
        <v>3</v>
      </c>
      <c r="B14" s="92" t="s">
        <v>1</v>
      </c>
      <c r="C14" s="92"/>
      <c r="D14" s="92"/>
      <c r="E14" s="92" t="s">
        <v>2</v>
      </c>
      <c r="F14" s="92" t="s">
        <v>29</v>
      </c>
      <c r="G14" s="92" t="s">
        <v>83</v>
      </c>
      <c r="H14" s="92"/>
      <c r="I14" s="92" t="s">
        <v>84</v>
      </c>
      <c r="J14" s="92"/>
      <c r="K14" s="4" t="s">
        <v>21</v>
      </c>
    </row>
    <row r="15" spans="1:12" s="2" customFormat="1" ht="12.75" x14ac:dyDescent="0.25">
      <c r="A15" s="92"/>
      <c r="B15" s="92"/>
      <c r="C15" s="92"/>
      <c r="D15" s="92"/>
      <c r="E15" s="92"/>
      <c r="F15" s="92"/>
      <c r="G15" s="4" t="s">
        <v>82</v>
      </c>
      <c r="H15" s="4" t="s">
        <v>81</v>
      </c>
      <c r="I15" s="4" t="s">
        <v>82</v>
      </c>
      <c r="J15" s="4" t="s">
        <v>81</v>
      </c>
      <c r="K15" s="4" t="s">
        <v>22</v>
      </c>
    </row>
    <row r="16" spans="1:12" s="2" customFormat="1" ht="13.5" customHeight="1" x14ac:dyDescent="0.25">
      <c r="A16" s="6"/>
      <c r="B16" s="99"/>
      <c r="C16" s="100"/>
      <c r="D16" s="100"/>
      <c r="E16" s="7"/>
      <c r="F16" s="8"/>
      <c r="G16" s="13"/>
      <c r="H16" s="13"/>
      <c r="I16" s="13"/>
      <c r="J16" s="13"/>
      <c r="K16" s="43"/>
    </row>
    <row r="17" spans="1:13" s="2" customFormat="1" ht="13.5" customHeight="1" x14ac:dyDescent="0.25">
      <c r="A17" s="9" t="s">
        <v>5</v>
      </c>
      <c r="B17" s="10" t="s">
        <v>4</v>
      </c>
      <c r="C17" s="11"/>
      <c r="D17" s="11"/>
      <c r="E17" s="12"/>
      <c r="F17" s="13"/>
      <c r="G17" s="13"/>
      <c r="H17" s="13"/>
      <c r="I17" s="13"/>
      <c r="J17" s="13"/>
      <c r="K17" s="51"/>
    </row>
    <row r="18" spans="1:13" s="2" customFormat="1" ht="13.5" customHeight="1" x14ac:dyDescent="0.25">
      <c r="A18" s="12" t="s">
        <v>45</v>
      </c>
      <c r="B18" s="66" t="s">
        <v>79</v>
      </c>
      <c r="C18" s="11"/>
      <c r="D18" s="11"/>
      <c r="E18" s="79" t="s">
        <v>0</v>
      </c>
      <c r="F18" s="13">
        <f>G12</f>
        <v>14348.86</v>
      </c>
      <c r="G18" s="13">
        <f>'ORC GLOBAL'!I18</f>
        <v>0.13999999999999999</v>
      </c>
      <c r="H18" s="13">
        <f>'ORC GLOBAL'!J18</f>
        <v>0.55999999999999994</v>
      </c>
      <c r="I18" s="13">
        <f>TRUNC(F18*G18,2)</f>
        <v>2008.84</v>
      </c>
      <c r="J18" s="13">
        <f>TRUNC(F18*H18,2)</f>
        <v>8035.36</v>
      </c>
      <c r="K18" s="52">
        <f>TRUNC(I18+J18,2)</f>
        <v>10044.200000000001</v>
      </c>
      <c r="L18" s="78"/>
      <c r="M18" s="80"/>
    </row>
    <row r="19" spans="1:13" s="2" customFormat="1" ht="13.5" customHeight="1" x14ac:dyDescent="0.25">
      <c r="A19" s="12" t="s">
        <v>46</v>
      </c>
      <c r="B19" s="93" t="s">
        <v>73</v>
      </c>
      <c r="C19" s="94"/>
      <c r="D19" s="94"/>
      <c r="E19" s="60" t="s">
        <v>64</v>
      </c>
      <c r="F19" s="13"/>
      <c r="G19" s="13">
        <f>'ORC GLOBAL'!I19</f>
        <v>0</v>
      </c>
      <c r="H19" s="13">
        <f>'ORC GLOBAL'!J19</f>
        <v>0</v>
      </c>
      <c r="I19" s="13">
        <f t="shared" ref="I19:I24" si="0">TRUNC(F19*G19,2)</f>
        <v>0</v>
      </c>
      <c r="J19" s="13">
        <f t="shared" ref="J19:J24" si="1">TRUNC(F19*H19,2)</f>
        <v>0</v>
      </c>
      <c r="K19" s="52">
        <f t="shared" ref="K19:K24" si="2">TRUNC(I19+J19,2)</f>
        <v>0</v>
      </c>
      <c r="L19" s="78"/>
      <c r="M19" s="80"/>
    </row>
    <row r="20" spans="1:13" s="2" customFormat="1" ht="13.5" customHeight="1" x14ac:dyDescent="0.25">
      <c r="A20" s="12" t="s">
        <v>47</v>
      </c>
      <c r="B20" s="93" t="s">
        <v>31</v>
      </c>
      <c r="C20" s="94"/>
      <c r="D20" s="94"/>
      <c r="E20" s="60" t="s">
        <v>64</v>
      </c>
      <c r="F20" s="13"/>
      <c r="G20" s="13">
        <f>'ORC GLOBAL'!I20</f>
        <v>0</v>
      </c>
      <c r="H20" s="13">
        <f>'ORC GLOBAL'!J20</f>
        <v>0</v>
      </c>
      <c r="I20" s="13">
        <f t="shared" si="0"/>
        <v>0</v>
      </c>
      <c r="J20" s="13">
        <f t="shared" si="1"/>
        <v>0</v>
      </c>
      <c r="K20" s="52">
        <f t="shared" si="2"/>
        <v>0</v>
      </c>
      <c r="L20" s="78"/>
      <c r="M20" s="80"/>
    </row>
    <row r="21" spans="1:13" s="2" customFormat="1" ht="13.5" customHeight="1" x14ac:dyDescent="0.25">
      <c r="A21" s="12" t="s">
        <v>48</v>
      </c>
      <c r="B21" s="14" t="s">
        <v>30</v>
      </c>
      <c r="C21" s="15"/>
      <c r="D21" s="15"/>
      <c r="E21" s="12" t="s">
        <v>0</v>
      </c>
      <c r="F21" s="13">
        <f>G12</f>
        <v>14348.86</v>
      </c>
      <c r="G21" s="13">
        <f>'ORC GLOBAL'!I21</f>
        <v>1.08</v>
      </c>
      <c r="H21" s="13">
        <f>'ORC GLOBAL'!J21</f>
        <v>0.27</v>
      </c>
      <c r="I21" s="13">
        <f t="shared" si="0"/>
        <v>15496.76</v>
      </c>
      <c r="J21" s="13">
        <f t="shared" si="1"/>
        <v>3874.19</v>
      </c>
      <c r="K21" s="52">
        <f t="shared" si="2"/>
        <v>19370.95</v>
      </c>
      <c r="L21" s="78"/>
      <c r="M21" s="80"/>
    </row>
    <row r="22" spans="1:13" s="2" customFormat="1" ht="13.5" customHeight="1" x14ac:dyDescent="0.25">
      <c r="A22" s="12" t="s">
        <v>49</v>
      </c>
      <c r="B22" s="93" t="s">
        <v>71</v>
      </c>
      <c r="C22" s="94"/>
      <c r="D22" s="94"/>
      <c r="E22" s="12" t="s">
        <v>64</v>
      </c>
      <c r="F22" s="13">
        <f>G12*0.04</f>
        <v>573.95440000000008</v>
      </c>
      <c r="G22" s="13">
        <f>'ORC GLOBAL'!I22</f>
        <v>480</v>
      </c>
      <c r="H22" s="13">
        <f>'ORC GLOBAL'!J22</f>
        <v>120</v>
      </c>
      <c r="I22" s="13">
        <f t="shared" si="0"/>
        <v>275498.11</v>
      </c>
      <c r="J22" s="13">
        <f t="shared" si="1"/>
        <v>68874.52</v>
      </c>
      <c r="K22" s="52">
        <f t="shared" si="2"/>
        <v>344372.63</v>
      </c>
      <c r="L22" s="78"/>
      <c r="M22" s="80"/>
    </row>
    <row r="23" spans="1:13" s="2" customFormat="1" ht="13.5" customHeight="1" x14ac:dyDescent="0.25">
      <c r="A23" s="12" t="s">
        <v>50</v>
      </c>
      <c r="B23" s="14" t="s">
        <v>30</v>
      </c>
      <c r="C23" s="15"/>
      <c r="D23" s="15"/>
      <c r="E23" s="12" t="s">
        <v>0</v>
      </c>
      <c r="F23" s="13">
        <f>F21</f>
        <v>14348.86</v>
      </c>
      <c r="G23" s="13">
        <f>'ORC GLOBAL'!I23</f>
        <v>1.08</v>
      </c>
      <c r="H23" s="13">
        <f>'ORC GLOBAL'!J23</f>
        <v>0.27</v>
      </c>
      <c r="I23" s="13">
        <f t="shared" si="0"/>
        <v>15496.76</v>
      </c>
      <c r="J23" s="13">
        <f t="shared" si="1"/>
        <v>3874.19</v>
      </c>
      <c r="K23" s="52">
        <f t="shared" si="2"/>
        <v>19370.95</v>
      </c>
      <c r="L23" s="78"/>
      <c r="M23" s="80"/>
    </row>
    <row r="24" spans="1:13" s="2" customFormat="1" ht="13.5" customHeight="1" x14ac:dyDescent="0.25">
      <c r="A24" s="12" t="s">
        <v>80</v>
      </c>
      <c r="B24" s="93" t="s">
        <v>72</v>
      </c>
      <c r="C24" s="94"/>
      <c r="D24" s="94"/>
      <c r="E24" s="12" t="s">
        <v>64</v>
      </c>
      <c r="F24" s="13">
        <f>G12*0.04</f>
        <v>573.95440000000008</v>
      </c>
      <c r="G24" s="13">
        <f>'ORC GLOBAL'!I24</f>
        <v>480</v>
      </c>
      <c r="H24" s="13">
        <f>'ORC GLOBAL'!J24</f>
        <v>120</v>
      </c>
      <c r="I24" s="13">
        <f t="shared" si="0"/>
        <v>275498.11</v>
      </c>
      <c r="J24" s="13">
        <f t="shared" si="1"/>
        <v>68874.52</v>
      </c>
      <c r="K24" s="52">
        <f t="shared" si="2"/>
        <v>344372.63</v>
      </c>
      <c r="L24" s="78"/>
      <c r="M24" s="80"/>
    </row>
    <row r="25" spans="1:13" s="2" customFormat="1" ht="13.5" customHeight="1" x14ac:dyDescent="0.25">
      <c r="A25" s="12"/>
      <c r="B25" s="95" t="s">
        <v>66</v>
      </c>
      <c r="C25" s="96"/>
      <c r="D25" s="96"/>
      <c r="E25" s="61"/>
      <c r="F25" s="13"/>
      <c r="G25" s="13">
        <f>'ORC GLOBAL'!I25</f>
        <v>0</v>
      </c>
      <c r="H25" s="13">
        <f>'ORC GLOBAL'!J25</f>
        <v>0</v>
      </c>
      <c r="I25" s="84">
        <f>SUM(I18:I24)</f>
        <v>583998.57999999996</v>
      </c>
      <c r="J25" s="84">
        <f>SUM(J18:J24)</f>
        <v>153532.78000000003</v>
      </c>
      <c r="K25" s="84">
        <f>SUM(K18:K24)</f>
        <v>737531.3600000001</v>
      </c>
      <c r="L25" s="78"/>
      <c r="M25" s="80"/>
    </row>
    <row r="26" spans="1:13" s="2" customFormat="1" ht="13.5" customHeight="1" x14ac:dyDescent="0.25">
      <c r="A26" s="12"/>
      <c r="B26" s="58"/>
      <c r="C26" s="59"/>
      <c r="D26" s="59"/>
      <c r="E26" s="61"/>
      <c r="F26" s="13"/>
      <c r="G26" s="13">
        <f>'ORC GLOBAL'!I26</f>
        <v>0</v>
      </c>
      <c r="H26" s="13">
        <f>'ORC GLOBAL'!J26</f>
        <v>0</v>
      </c>
      <c r="I26" s="13"/>
      <c r="J26" s="13"/>
      <c r="K26" s="52"/>
      <c r="L26" s="78"/>
      <c r="M26" s="80"/>
    </row>
    <row r="27" spans="1:13" s="2" customFormat="1" ht="13.5" customHeight="1" x14ac:dyDescent="0.25">
      <c r="A27" s="9" t="s">
        <v>51</v>
      </c>
      <c r="B27" s="101" t="s">
        <v>33</v>
      </c>
      <c r="C27" s="102"/>
      <c r="D27" s="102"/>
      <c r="E27" s="61"/>
      <c r="F27" s="13"/>
      <c r="G27" s="13">
        <f>'ORC GLOBAL'!I27</f>
        <v>0</v>
      </c>
      <c r="H27" s="13">
        <f>'ORC GLOBAL'!J27</f>
        <v>0</v>
      </c>
      <c r="I27" s="13"/>
      <c r="J27" s="13"/>
      <c r="K27" s="52"/>
      <c r="L27" s="78"/>
      <c r="M27" s="80"/>
    </row>
    <row r="28" spans="1:13" s="2" customFormat="1" ht="13.5" customHeight="1" x14ac:dyDescent="0.25">
      <c r="A28" s="12" t="s">
        <v>52</v>
      </c>
      <c r="B28" s="93" t="s">
        <v>32</v>
      </c>
      <c r="C28" s="94"/>
      <c r="D28" s="94"/>
      <c r="E28" s="61" t="s">
        <v>64</v>
      </c>
      <c r="F28" s="13">
        <f>(F31+F32+F33)*1.5*0.6</f>
        <v>746.1</v>
      </c>
      <c r="G28" s="13">
        <f>'ORC GLOBAL'!I28</f>
        <v>9.6839999999999993</v>
      </c>
      <c r="H28" s="13">
        <f>'ORC GLOBAL'!J28</f>
        <v>6.4560000000000013</v>
      </c>
      <c r="I28" s="13">
        <f t="shared" ref="I28:I35" si="3">TRUNC(F28*G28,2)</f>
        <v>7225.23</v>
      </c>
      <c r="J28" s="13">
        <f t="shared" ref="J28:J35" si="4">TRUNC(F28*H28,2)</f>
        <v>4816.82</v>
      </c>
      <c r="K28" s="52">
        <f t="shared" ref="K28:K44" si="5">TRUNC(I28+J28,2)</f>
        <v>12042.05</v>
      </c>
      <c r="L28" s="78"/>
      <c r="M28" s="80"/>
    </row>
    <row r="29" spans="1:13" s="2" customFormat="1" ht="13.5" customHeight="1" x14ac:dyDescent="0.25">
      <c r="A29" s="12" t="s">
        <v>76</v>
      </c>
      <c r="B29" s="58" t="s">
        <v>38</v>
      </c>
      <c r="C29" s="59"/>
      <c r="D29" s="59"/>
      <c r="E29" s="62" t="s">
        <v>23</v>
      </c>
      <c r="F29" s="13"/>
      <c r="G29" s="13">
        <f>'ORC GLOBAL'!I29</f>
        <v>13.456000000000001</v>
      </c>
      <c r="H29" s="13">
        <f>'ORC GLOBAL'!J29</f>
        <v>3.363999999999999</v>
      </c>
      <c r="I29" s="13">
        <f t="shared" si="3"/>
        <v>0</v>
      </c>
      <c r="J29" s="13">
        <f t="shared" si="4"/>
        <v>0</v>
      </c>
      <c r="K29" s="52">
        <f t="shared" si="5"/>
        <v>0</v>
      </c>
      <c r="L29" s="78"/>
      <c r="M29" s="80"/>
    </row>
    <row r="30" spans="1:13" s="2" customFormat="1" ht="13.5" customHeight="1" x14ac:dyDescent="0.25">
      <c r="A30" s="12" t="s">
        <v>53</v>
      </c>
      <c r="B30" s="93" t="s">
        <v>35</v>
      </c>
      <c r="C30" s="94"/>
      <c r="D30" s="94"/>
      <c r="E30" s="62" t="s">
        <v>64</v>
      </c>
      <c r="F30" s="13">
        <f>(F28*1.3)-((F31+F32)*0.4*0.4)</f>
        <v>854.8900000000001</v>
      </c>
      <c r="G30" s="13">
        <f>'ORC GLOBAL'!I30</f>
        <v>3.7439999999999998</v>
      </c>
      <c r="H30" s="13">
        <f>'ORC GLOBAL'!J30</f>
        <v>0.93599999999999994</v>
      </c>
      <c r="I30" s="13">
        <f t="shared" si="3"/>
        <v>3200.7</v>
      </c>
      <c r="J30" s="13">
        <f t="shared" si="4"/>
        <v>800.17</v>
      </c>
      <c r="K30" s="52">
        <f t="shared" si="5"/>
        <v>4000.87</v>
      </c>
      <c r="L30" s="78"/>
      <c r="M30" s="80"/>
    </row>
    <row r="31" spans="1:13" s="2" customFormat="1" ht="13.5" customHeight="1" x14ac:dyDescent="0.25">
      <c r="A31" s="12" t="s">
        <v>77</v>
      </c>
      <c r="B31" s="63" t="s">
        <v>34</v>
      </c>
      <c r="C31" s="64"/>
      <c r="D31" s="64"/>
      <c r="E31" s="60" t="s">
        <v>23</v>
      </c>
      <c r="F31" s="13">
        <v>128</v>
      </c>
      <c r="G31" s="13">
        <f>'ORC GLOBAL'!I31</f>
        <v>36.4</v>
      </c>
      <c r="H31" s="13">
        <f>'ORC GLOBAL'!J31</f>
        <v>9.1000000000000014</v>
      </c>
      <c r="I31" s="13">
        <f t="shared" si="3"/>
        <v>4659.2</v>
      </c>
      <c r="J31" s="13">
        <f t="shared" si="4"/>
        <v>1164.8</v>
      </c>
      <c r="K31" s="52">
        <f t="shared" si="5"/>
        <v>5824</v>
      </c>
      <c r="L31" s="78"/>
      <c r="M31" s="80"/>
    </row>
    <row r="32" spans="1:13" s="2" customFormat="1" ht="13.5" customHeight="1" x14ac:dyDescent="0.25">
      <c r="A32" s="12" t="s">
        <v>54</v>
      </c>
      <c r="B32" s="63" t="s">
        <v>37</v>
      </c>
      <c r="C32" s="64"/>
      <c r="D32" s="64"/>
      <c r="E32" s="60" t="s">
        <v>23</v>
      </c>
      <c r="F32" s="13">
        <v>591</v>
      </c>
      <c r="G32" s="13">
        <f>'ORC GLOBAL'!I32</f>
        <v>44.800000000000004</v>
      </c>
      <c r="H32" s="13">
        <f>'ORC GLOBAL'!J32</f>
        <v>11.199999999999996</v>
      </c>
      <c r="I32" s="13">
        <f t="shared" si="3"/>
        <v>26476.799999999999</v>
      </c>
      <c r="J32" s="13">
        <f t="shared" si="4"/>
        <v>6619.2</v>
      </c>
      <c r="K32" s="52">
        <f t="shared" si="5"/>
        <v>33096</v>
      </c>
      <c r="L32" s="78"/>
      <c r="M32" s="80"/>
    </row>
    <row r="33" spans="1:15" s="2" customFormat="1" ht="13.5" customHeight="1" x14ac:dyDescent="0.25">
      <c r="A33" s="12" t="s">
        <v>55</v>
      </c>
      <c r="B33" s="63" t="s">
        <v>75</v>
      </c>
      <c r="C33" s="64"/>
      <c r="D33" s="64"/>
      <c r="E33" s="60" t="s">
        <v>23</v>
      </c>
      <c r="F33" s="13">
        <v>110</v>
      </c>
      <c r="G33" s="13">
        <f>'ORC GLOBAL'!I33</f>
        <v>56</v>
      </c>
      <c r="H33" s="13">
        <f>'ORC GLOBAL'!J33</f>
        <v>14</v>
      </c>
      <c r="I33" s="13">
        <f t="shared" si="3"/>
        <v>6160</v>
      </c>
      <c r="J33" s="13">
        <f t="shared" si="4"/>
        <v>1540</v>
      </c>
      <c r="K33" s="52">
        <f t="shared" si="5"/>
        <v>7700</v>
      </c>
      <c r="L33" s="78"/>
      <c r="M33" s="80"/>
    </row>
    <row r="34" spans="1:15" s="2" customFormat="1" ht="13.5" customHeight="1" x14ac:dyDescent="0.25">
      <c r="A34" s="12" t="s">
        <v>56</v>
      </c>
      <c r="B34" s="66" t="s">
        <v>36</v>
      </c>
      <c r="C34" s="64"/>
      <c r="D34" s="64"/>
      <c r="E34" s="12" t="s">
        <v>65</v>
      </c>
      <c r="F34" s="13">
        <v>23</v>
      </c>
      <c r="G34" s="13">
        <f>'ORC GLOBAL'!I34</f>
        <v>552.03200000000004</v>
      </c>
      <c r="H34" s="13">
        <f>'ORC GLOBAL'!J34</f>
        <v>138.00799999999992</v>
      </c>
      <c r="I34" s="13">
        <f t="shared" si="3"/>
        <v>12696.73</v>
      </c>
      <c r="J34" s="13">
        <f t="shared" si="4"/>
        <v>3174.18</v>
      </c>
      <c r="K34" s="52">
        <f t="shared" si="5"/>
        <v>15870.91</v>
      </c>
      <c r="L34" s="78"/>
      <c r="M34" s="80"/>
      <c r="N34" s="78"/>
    </row>
    <row r="35" spans="1:15" s="2" customFormat="1" ht="13.5" customHeight="1" x14ac:dyDescent="0.25">
      <c r="A35" s="12" t="s">
        <v>57</v>
      </c>
      <c r="B35" s="66" t="s">
        <v>74</v>
      </c>
      <c r="C35" s="17"/>
      <c r="D35" s="17"/>
      <c r="E35" s="12" t="s">
        <v>65</v>
      </c>
      <c r="F35" s="13">
        <v>4</v>
      </c>
      <c r="G35" s="13">
        <f>'ORC GLOBAL'!I35</f>
        <v>662.4384</v>
      </c>
      <c r="H35" s="13">
        <f>'ORC GLOBAL'!J35</f>
        <v>165.60959999999989</v>
      </c>
      <c r="I35" s="13">
        <f t="shared" si="3"/>
        <v>2649.75</v>
      </c>
      <c r="J35" s="13">
        <f t="shared" si="4"/>
        <v>662.43</v>
      </c>
      <c r="K35" s="52">
        <f t="shared" si="5"/>
        <v>3312.18</v>
      </c>
      <c r="L35" s="78"/>
      <c r="M35" s="80"/>
    </row>
    <row r="36" spans="1:15" s="2" customFormat="1" ht="13.5" customHeight="1" x14ac:dyDescent="0.25">
      <c r="A36" s="12"/>
      <c r="B36" s="95" t="s">
        <v>67</v>
      </c>
      <c r="C36" s="96"/>
      <c r="D36" s="96"/>
      <c r="E36" s="12"/>
      <c r="F36" s="13"/>
      <c r="G36" s="13">
        <f>'ORC GLOBAL'!I36</f>
        <v>0</v>
      </c>
      <c r="H36" s="13">
        <f>'ORC GLOBAL'!J36</f>
        <v>0</v>
      </c>
      <c r="I36" s="84">
        <f>SUM(I28:I35)</f>
        <v>63068.41</v>
      </c>
      <c r="J36" s="84">
        <f>SUM(J28:J35)</f>
        <v>18777.599999999999</v>
      </c>
      <c r="K36" s="84">
        <f>SUM(K28:K35)</f>
        <v>81846.009999999995</v>
      </c>
      <c r="L36" s="78"/>
      <c r="M36" s="80"/>
    </row>
    <row r="37" spans="1:15" s="2" customFormat="1" ht="13.5" customHeight="1" x14ac:dyDescent="0.25">
      <c r="A37" s="12"/>
      <c r="B37" s="66"/>
      <c r="C37" s="17"/>
      <c r="D37" s="17"/>
      <c r="E37" s="12"/>
      <c r="F37" s="13"/>
      <c r="G37" s="13">
        <f>'ORC GLOBAL'!I37</f>
        <v>0</v>
      </c>
      <c r="H37" s="13">
        <f>'ORC GLOBAL'!J37</f>
        <v>0</v>
      </c>
      <c r="I37" s="13"/>
      <c r="J37" s="13"/>
      <c r="K37" s="52"/>
      <c r="L37" s="78"/>
      <c r="M37" s="80"/>
    </row>
    <row r="38" spans="1:15" s="2" customFormat="1" ht="13.5" customHeight="1" x14ac:dyDescent="0.25">
      <c r="A38" s="9" t="s">
        <v>58</v>
      </c>
      <c r="B38" s="10" t="s">
        <v>39</v>
      </c>
      <c r="C38" s="17"/>
      <c r="D38" s="17"/>
      <c r="E38" s="12"/>
      <c r="F38" s="13"/>
      <c r="G38" s="13">
        <f>'ORC GLOBAL'!I38</f>
        <v>0</v>
      </c>
      <c r="H38" s="13">
        <f>'ORC GLOBAL'!J38</f>
        <v>0</v>
      </c>
      <c r="I38" s="13"/>
      <c r="J38" s="13"/>
      <c r="K38" s="52"/>
      <c r="L38" s="78"/>
      <c r="M38" s="80"/>
    </row>
    <row r="39" spans="1:15" s="2" customFormat="1" ht="13.5" customHeight="1" x14ac:dyDescent="0.25">
      <c r="A39" s="12" t="s">
        <v>59</v>
      </c>
      <c r="B39" s="66" t="s">
        <v>40</v>
      </c>
      <c r="C39" s="17"/>
      <c r="D39" s="17"/>
      <c r="E39" s="12" t="s">
        <v>0</v>
      </c>
      <c r="F39" s="13">
        <f>1023*0.1*2</f>
        <v>204.60000000000002</v>
      </c>
      <c r="G39" s="13">
        <f>'ORC GLOBAL'!I39</f>
        <v>13.984000000000002</v>
      </c>
      <c r="H39" s="13">
        <f>'ORC GLOBAL'!J39</f>
        <v>3.4959999999999987</v>
      </c>
      <c r="I39" s="13">
        <f t="shared" ref="I39:I44" si="6">TRUNC(F39*G39,2)</f>
        <v>2861.12</v>
      </c>
      <c r="J39" s="13">
        <f t="shared" ref="J39:J44" si="7">TRUNC(F39*H39,2)</f>
        <v>715.28</v>
      </c>
      <c r="K39" s="52">
        <f t="shared" si="5"/>
        <v>3576.4</v>
      </c>
      <c r="L39" s="78"/>
      <c r="M39" s="80"/>
    </row>
    <row r="40" spans="1:15" s="2" customFormat="1" ht="13.5" customHeight="1" x14ac:dyDescent="0.25">
      <c r="A40" s="12" t="s">
        <v>60</v>
      </c>
      <c r="B40" s="66" t="s">
        <v>41</v>
      </c>
      <c r="C40" s="17"/>
      <c r="D40" s="17"/>
      <c r="E40" s="12" t="s">
        <v>0</v>
      </c>
      <c r="F40" s="13">
        <f>543*0.2</f>
        <v>108.60000000000001</v>
      </c>
      <c r="G40" s="13">
        <f>'ORC GLOBAL'!I40</f>
        <v>13.984000000000002</v>
      </c>
      <c r="H40" s="13">
        <f>'ORC GLOBAL'!J40</f>
        <v>3.4959999999999987</v>
      </c>
      <c r="I40" s="13">
        <f t="shared" si="6"/>
        <v>1518.66</v>
      </c>
      <c r="J40" s="13">
        <f t="shared" si="7"/>
        <v>379.66</v>
      </c>
      <c r="K40" s="52">
        <f t="shared" si="5"/>
        <v>1898.32</v>
      </c>
      <c r="L40" s="78"/>
      <c r="M40" s="80"/>
    </row>
    <row r="41" spans="1:15" s="2" customFormat="1" ht="13.5" customHeight="1" x14ac:dyDescent="0.25">
      <c r="A41" s="12" t="s">
        <v>61</v>
      </c>
      <c r="B41" s="66" t="s">
        <v>42</v>
      </c>
      <c r="C41" s="17"/>
      <c r="D41" s="17"/>
      <c r="E41" s="12" t="s">
        <v>0</v>
      </c>
      <c r="F41" s="13">
        <f>(2.5*13/2*9)</f>
        <v>146.25</v>
      </c>
      <c r="G41" s="13">
        <f>'ORC GLOBAL'!I41</f>
        <v>13.984000000000002</v>
      </c>
      <c r="H41" s="13">
        <f>'ORC GLOBAL'!J41</f>
        <v>3.4959999999999987</v>
      </c>
      <c r="I41" s="13">
        <f t="shared" si="6"/>
        <v>2045.16</v>
      </c>
      <c r="J41" s="13">
        <f t="shared" si="7"/>
        <v>511.29</v>
      </c>
      <c r="K41" s="52">
        <f t="shared" si="5"/>
        <v>2556.4499999999998</v>
      </c>
      <c r="L41" s="78"/>
      <c r="M41" s="80"/>
    </row>
    <row r="42" spans="1:15" s="2" customFormat="1" ht="13.5" customHeight="1" x14ac:dyDescent="0.25">
      <c r="A42" s="12" t="s">
        <v>62</v>
      </c>
      <c r="B42" s="66" t="s">
        <v>43</v>
      </c>
      <c r="C42" s="17"/>
      <c r="D42" s="17"/>
      <c r="E42" s="12" t="s">
        <v>65</v>
      </c>
      <c r="F42" s="13">
        <v>12</v>
      </c>
      <c r="G42" s="13">
        <f>'ORC GLOBAL'!I42</f>
        <v>154.80000000000001</v>
      </c>
      <c r="H42" s="13">
        <f>'ORC GLOBAL'!J42</f>
        <v>38.699999999999989</v>
      </c>
      <c r="I42" s="13">
        <f t="shared" si="6"/>
        <v>1857.6</v>
      </c>
      <c r="J42" s="13">
        <f t="shared" si="7"/>
        <v>464.4</v>
      </c>
      <c r="K42" s="52">
        <f t="shared" si="5"/>
        <v>2322</v>
      </c>
      <c r="L42" s="78"/>
      <c r="M42" s="80"/>
    </row>
    <row r="43" spans="1:15" s="2" customFormat="1" ht="13.5" customHeight="1" x14ac:dyDescent="0.25">
      <c r="A43" s="12" t="s">
        <v>63</v>
      </c>
      <c r="B43" s="66" t="s">
        <v>70</v>
      </c>
      <c r="C43" s="17"/>
      <c r="D43" s="17"/>
      <c r="E43" s="12" t="s">
        <v>65</v>
      </c>
      <c r="F43" s="13">
        <v>1</v>
      </c>
      <c r="G43" s="13">
        <f>'ORC GLOBAL'!I43</f>
        <v>154.80000000000001</v>
      </c>
      <c r="H43" s="13">
        <f>'ORC GLOBAL'!J43</f>
        <v>38.699999999999989</v>
      </c>
      <c r="I43" s="13">
        <f t="shared" si="6"/>
        <v>154.80000000000001</v>
      </c>
      <c r="J43" s="13">
        <f t="shared" si="7"/>
        <v>38.700000000000003</v>
      </c>
      <c r="K43" s="52">
        <f t="shared" si="5"/>
        <v>193.5</v>
      </c>
      <c r="L43" s="78"/>
      <c r="M43" s="80"/>
    </row>
    <row r="44" spans="1:15" s="2" customFormat="1" ht="13.5" customHeight="1" x14ac:dyDescent="0.25">
      <c r="A44" s="12" t="s">
        <v>69</v>
      </c>
      <c r="B44" s="66" t="s">
        <v>44</v>
      </c>
      <c r="C44" s="17"/>
      <c r="D44" s="17"/>
      <c r="E44" s="12" t="s">
        <v>0</v>
      </c>
      <c r="F44" s="13"/>
      <c r="G44" s="13">
        <f>'ORC GLOBAL'!I44</f>
        <v>390.048</v>
      </c>
      <c r="H44" s="13">
        <f>'ORC GLOBAL'!J44</f>
        <v>97.512</v>
      </c>
      <c r="I44" s="13">
        <f t="shared" si="6"/>
        <v>0</v>
      </c>
      <c r="J44" s="13">
        <f t="shared" si="7"/>
        <v>0</v>
      </c>
      <c r="K44" s="52">
        <f t="shared" si="5"/>
        <v>0</v>
      </c>
      <c r="L44" s="78"/>
      <c r="M44" s="80"/>
    </row>
    <row r="45" spans="1:15" s="2" customFormat="1" ht="13.5" customHeight="1" x14ac:dyDescent="0.25">
      <c r="A45" s="12" t="s">
        <v>85</v>
      </c>
      <c r="B45" s="66" t="s">
        <v>86</v>
      </c>
      <c r="C45" s="17"/>
      <c r="D45" s="17"/>
      <c r="E45" s="12" t="s">
        <v>65</v>
      </c>
      <c r="F45" s="13">
        <v>18</v>
      </c>
      <c r="G45" s="13">
        <f>'ORC GLOBAL'!I45</f>
        <v>130.66199999999998</v>
      </c>
      <c r="H45" s="13">
        <f>'ORC GLOBAL'!J45</f>
        <v>55.998000000000019</v>
      </c>
      <c r="I45" s="13">
        <f>TRUNC(F45*G45,2)</f>
        <v>2351.91</v>
      </c>
      <c r="J45" s="13">
        <f>TRUNC(F45*H45,2)</f>
        <v>1007.96</v>
      </c>
      <c r="K45" s="52">
        <f>TRUNC(I45+J45,2)</f>
        <v>3359.87</v>
      </c>
      <c r="L45" s="78"/>
      <c r="M45" s="80"/>
    </row>
    <row r="46" spans="1:15" s="2" customFormat="1" ht="13.5" customHeight="1" x14ac:dyDescent="0.25">
      <c r="A46" s="12"/>
      <c r="B46" s="95" t="s">
        <v>68</v>
      </c>
      <c r="C46" s="96"/>
      <c r="D46" s="96"/>
      <c r="E46" s="12"/>
      <c r="F46" s="13"/>
      <c r="G46" s="13"/>
      <c r="H46" s="13"/>
      <c r="I46" s="84">
        <f>SUM(I39:I45)</f>
        <v>10789.249999999998</v>
      </c>
      <c r="J46" s="84">
        <f>SUM(J39:J45)</f>
        <v>3117.29</v>
      </c>
      <c r="K46" s="84">
        <f>SUM(K39:K45)</f>
        <v>13906.54</v>
      </c>
      <c r="L46" s="78"/>
      <c r="M46" s="80"/>
    </row>
    <row r="47" spans="1:15" s="2" customFormat="1" ht="12.75" x14ac:dyDescent="0.25">
      <c r="A47" s="21"/>
      <c r="B47" s="67"/>
      <c r="C47" s="68"/>
      <c r="D47" s="68"/>
      <c r="E47" s="21"/>
      <c r="F47" s="22"/>
      <c r="G47" s="83"/>
      <c r="H47" s="83"/>
      <c r="I47" s="83"/>
      <c r="J47" s="83"/>
      <c r="K47" s="53"/>
      <c r="L47" s="78"/>
      <c r="M47" s="80"/>
      <c r="N47" s="16"/>
      <c r="O47" s="16"/>
    </row>
    <row r="48" spans="1:15" s="2" customFormat="1" ht="17.25" customHeight="1" x14ac:dyDescent="0.25">
      <c r="A48" s="97" t="s">
        <v>6</v>
      </c>
      <c r="B48" s="98"/>
      <c r="C48" s="98"/>
      <c r="D48" s="98"/>
      <c r="E48" s="98"/>
      <c r="F48" s="98"/>
      <c r="G48" s="82"/>
      <c r="H48" s="82"/>
      <c r="I48" s="85">
        <f>I46+I36+I25</f>
        <v>657856.24</v>
      </c>
      <c r="J48" s="85">
        <f>J46+J36+J25</f>
        <v>175427.67000000004</v>
      </c>
      <c r="K48" s="85">
        <f>K46+K36+K25</f>
        <v>833283.91000000015</v>
      </c>
      <c r="L48" s="78"/>
      <c r="M48" s="80"/>
      <c r="N48" s="16"/>
      <c r="O48" s="16"/>
    </row>
    <row r="49" spans="1:17" s="20" customFormat="1" ht="12.75" x14ac:dyDescent="0.25">
      <c r="A49" s="23"/>
      <c r="B49" s="23"/>
      <c r="C49" s="23"/>
      <c r="D49" s="24"/>
      <c r="E49" s="23"/>
      <c r="F49" s="23"/>
      <c r="G49" s="23"/>
      <c r="H49" s="23"/>
      <c r="I49" s="23"/>
      <c r="J49" s="23"/>
      <c r="K49" s="25"/>
      <c r="L49" s="25"/>
      <c r="M49" s="25"/>
      <c r="N49" s="19"/>
      <c r="O49" s="19"/>
    </row>
    <row r="50" spans="1:17" s="2" customFormat="1" ht="12.75" x14ac:dyDescent="0.25">
      <c r="A50" s="26"/>
      <c r="B50" s="27"/>
      <c r="C50" s="27"/>
      <c r="D50" s="27"/>
      <c r="E50" s="27"/>
      <c r="F50" s="28"/>
      <c r="G50" s="27"/>
      <c r="H50" s="27"/>
      <c r="I50" s="27"/>
      <c r="J50" s="27"/>
      <c r="K50" s="28"/>
      <c r="L50" s="28"/>
      <c r="M50" s="28"/>
      <c r="N50" s="16"/>
    </row>
    <row r="51" spans="1:17" s="20" customFormat="1" ht="12.75" customHeight="1" x14ac:dyDescent="0.3">
      <c r="A51" s="26"/>
      <c r="B51" s="23"/>
      <c r="C51" s="29"/>
      <c r="D51" s="24"/>
      <c r="E51" s="27"/>
      <c r="F51" s="28"/>
      <c r="G51" s="26"/>
      <c r="H51" s="26"/>
      <c r="I51" s="26"/>
      <c r="J51" s="26"/>
      <c r="K51" s="25"/>
      <c r="L51" s="28"/>
      <c r="M51" s="25"/>
      <c r="N51" s="19"/>
    </row>
    <row r="52" spans="1:17" s="2" customFormat="1" ht="12.75" x14ac:dyDescent="0.25">
      <c r="A52" s="26"/>
      <c r="B52" s="27"/>
      <c r="C52" s="27" t="s">
        <v>89</v>
      </c>
      <c r="D52" s="27"/>
      <c r="E52" s="27"/>
      <c r="F52" s="28"/>
      <c r="G52" s="23"/>
      <c r="H52" s="23"/>
      <c r="I52" s="26" t="s">
        <v>88</v>
      </c>
      <c r="J52" s="26"/>
      <c r="M52" s="28"/>
      <c r="N52" s="30"/>
      <c r="P52" s="18"/>
      <c r="Q52" s="16"/>
    </row>
    <row r="53" spans="1:17" s="2" customFormat="1" ht="12.75" x14ac:dyDescent="0.25">
      <c r="A53" s="27"/>
      <c r="B53" s="27"/>
      <c r="C53" s="27" t="s">
        <v>90</v>
      </c>
      <c r="D53" s="27"/>
      <c r="E53" s="27"/>
      <c r="F53" s="27"/>
      <c r="G53" s="26"/>
      <c r="H53" s="26"/>
      <c r="I53" s="27" t="s">
        <v>91</v>
      </c>
      <c r="J53" s="27"/>
      <c r="M53" s="28"/>
      <c r="N53" s="28"/>
      <c r="P53" s="16"/>
    </row>
    <row r="54" spans="1:17" s="2" customFormat="1" ht="12.75" x14ac:dyDescent="0.25">
      <c r="A54" s="26"/>
      <c r="B54" s="27"/>
      <c r="C54" s="27"/>
      <c r="D54" s="27"/>
      <c r="E54" s="27"/>
      <c r="F54" s="28"/>
      <c r="G54" s="24"/>
      <c r="H54" s="24"/>
      <c r="I54" s="24"/>
      <c r="J54" s="24"/>
      <c r="K54" s="28"/>
      <c r="L54" s="28"/>
      <c r="M54" s="30"/>
      <c r="O54" s="18"/>
      <c r="P54" s="16"/>
    </row>
  </sheetData>
  <mergeCells count="19">
    <mergeCell ref="B46:D46"/>
    <mergeCell ref="A48:F48"/>
    <mergeCell ref="B25:D25"/>
    <mergeCell ref="B27:D27"/>
    <mergeCell ref="B28:D28"/>
    <mergeCell ref="B30:D30"/>
    <mergeCell ref="B36:D36"/>
    <mergeCell ref="B16:D16"/>
    <mergeCell ref="B19:D19"/>
    <mergeCell ref="B20:D20"/>
    <mergeCell ref="B22:D22"/>
    <mergeCell ref="B24:D24"/>
    <mergeCell ref="A5:K5"/>
    <mergeCell ref="A14:A15"/>
    <mergeCell ref="B14:D15"/>
    <mergeCell ref="E14:E15"/>
    <mergeCell ref="F14:F15"/>
    <mergeCell ref="G14:H14"/>
    <mergeCell ref="I14:J14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zoomScale="120" zoomScaleNormal="120" workbookViewId="0">
      <selection activeCell="B23" sqref="B23:D23"/>
    </sheetView>
  </sheetViews>
  <sheetFormatPr defaultRowHeight="15" x14ac:dyDescent="0.25"/>
  <cols>
    <col min="4" max="4" width="29.7109375" customWidth="1"/>
    <col min="7" max="7" width="11.140625" bestFit="1" customWidth="1"/>
    <col min="9" max="9" width="15.140625" customWidth="1"/>
    <col min="10" max="11" width="14.7109375" customWidth="1"/>
  </cols>
  <sheetData>
    <row r="1" spans="1:12" s="2" customFormat="1" ht="12.75" x14ac:dyDescent="0.25">
      <c r="A1" s="20"/>
    </row>
    <row r="2" spans="1:12" s="2" customFormat="1" ht="12.75" x14ac:dyDescent="0.25">
      <c r="A2" s="20" t="s">
        <v>105</v>
      </c>
    </row>
    <row r="3" spans="1:12" s="2" customFormat="1" ht="12.75" x14ac:dyDescent="0.25">
      <c r="A3" s="20"/>
    </row>
    <row r="4" spans="1:12" s="2" customFormat="1" ht="12.75" x14ac:dyDescent="0.25">
      <c r="A4" s="20"/>
    </row>
    <row r="5" spans="1:12" s="2" customFormat="1" ht="15" customHeight="1" x14ac:dyDescent="0.25">
      <c r="A5" s="91" t="s">
        <v>108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2" s="2" customFormat="1" ht="15" customHeight="1" x14ac:dyDescent="0.2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</row>
    <row r="7" spans="1:12" s="2" customFormat="1" ht="15" customHeight="1" x14ac:dyDescent="0.25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1:12" s="2" customFormat="1" ht="12.75" x14ac:dyDescent="0.25">
      <c r="A8" s="2" t="s">
        <v>109</v>
      </c>
    </row>
    <row r="9" spans="1:12" s="2" customFormat="1" ht="12.75" x14ac:dyDescent="0.25">
      <c r="A9" s="2" t="s">
        <v>28</v>
      </c>
      <c r="B9" s="2" t="s">
        <v>110</v>
      </c>
      <c r="L9" s="16"/>
    </row>
    <row r="10" spans="1:12" s="2" customFormat="1" ht="12.75" x14ac:dyDescent="0.25">
      <c r="A10" s="2" t="s">
        <v>111</v>
      </c>
      <c r="G10" s="78"/>
      <c r="I10" s="18"/>
      <c r="J10" s="18"/>
    </row>
    <row r="11" spans="1:12" s="27" customFormat="1" ht="12" customHeight="1" x14ac:dyDescent="0.25">
      <c r="F11" s="2"/>
      <c r="G11" s="16"/>
      <c r="H11" s="2"/>
      <c r="I11" s="18"/>
      <c r="J11" s="18"/>
      <c r="K11" s="2"/>
    </row>
    <row r="12" spans="1:12" s="2" customFormat="1" ht="12" customHeight="1" x14ac:dyDescent="0.25">
      <c r="A12" s="27"/>
      <c r="B12" s="27"/>
      <c r="C12" s="27"/>
      <c r="D12" s="27"/>
      <c r="E12" s="5"/>
      <c r="F12" s="5"/>
      <c r="G12" s="27"/>
      <c r="H12" s="27"/>
      <c r="I12" s="27"/>
      <c r="J12" s="27"/>
    </row>
    <row r="13" spans="1:12" s="2" customFormat="1" ht="12.75" x14ac:dyDescent="0.25">
      <c r="A13" s="92" t="s">
        <v>3</v>
      </c>
      <c r="B13" s="92" t="s">
        <v>1</v>
      </c>
      <c r="C13" s="92"/>
      <c r="D13" s="92"/>
      <c r="E13" s="92" t="s">
        <v>2</v>
      </c>
      <c r="F13" s="92" t="s">
        <v>29</v>
      </c>
      <c r="G13" s="92" t="s">
        <v>83</v>
      </c>
      <c r="H13" s="92"/>
      <c r="I13" s="92" t="s">
        <v>84</v>
      </c>
      <c r="J13" s="92"/>
      <c r="K13" s="4" t="s">
        <v>21</v>
      </c>
    </row>
    <row r="14" spans="1:12" s="2" customFormat="1" ht="12.75" x14ac:dyDescent="0.25">
      <c r="A14" s="92"/>
      <c r="B14" s="92"/>
      <c r="C14" s="92"/>
      <c r="D14" s="92"/>
      <c r="E14" s="92"/>
      <c r="F14" s="92"/>
      <c r="G14" s="4"/>
      <c r="H14" s="4"/>
      <c r="I14" s="4"/>
      <c r="J14" s="4"/>
      <c r="K14" s="4" t="s">
        <v>22</v>
      </c>
    </row>
    <row r="15" spans="1:12" s="2" customFormat="1" ht="13.5" customHeight="1" x14ac:dyDescent="0.25">
      <c r="A15" s="6"/>
      <c r="B15" s="99"/>
      <c r="C15" s="100"/>
      <c r="D15" s="100"/>
      <c r="E15" s="7"/>
      <c r="F15" s="8"/>
      <c r="G15" s="13"/>
      <c r="H15" s="13"/>
      <c r="I15" s="13"/>
      <c r="J15" s="13"/>
      <c r="K15" s="43"/>
    </row>
    <row r="16" spans="1:12" s="2" customFormat="1" ht="13.5" customHeight="1" x14ac:dyDescent="0.25">
      <c r="A16" s="9"/>
      <c r="B16" s="10"/>
      <c r="C16" s="11"/>
      <c r="D16" s="11"/>
      <c r="E16" s="12"/>
      <c r="F16" s="13"/>
      <c r="G16" s="13"/>
      <c r="H16" s="13"/>
      <c r="I16" s="13"/>
      <c r="J16" s="13"/>
      <c r="K16" s="51"/>
    </row>
    <row r="17" spans="1:14" s="2" customFormat="1" ht="13.5" customHeight="1" x14ac:dyDescent="0.25">
      <c r="A17" s="12">
        <v>1</v>
      </c>
      <c r="B17" s="66" t="s">
        <v>112</v>
      </c>
      <c r="C17" s="11"/>
      <c r="D17" s="11"/>
      <c r="E17" s="79" t="s">
        <v>23</v>
      </c>
      <c r="F17" s="13">
        <v>400.8</v>
      </c>
      <c r="G17" s="13">
        <v>37.450000000000003</v>
      </c>
      <c r="H17" s="13"/>
      <c r="I17" s="13">
        <f>TRUNC(F17*G17,2)</f>
        <v>15009.96</v>
      </c>
      <c r="J17" s="13">
        <f>TRUNC(F17*H17,2)</f>
        <v>0</v>
      </c>
      <c r="K17" s="52">
        <f>TRUNC(I17+J17,2)</f>
        <v>15009.96</v>
      </c>
      <c r="L17" s="78"/>
      <c r="M17" s="80"/>
    </row>
    <row r="18" spans="1:14" s="2" customFormat="1" ht="13.5" customHeight="1" x14ac:dyDescent="0.25">
      <c r="A18" s="12">
        <v>2</v>
      </c>
      <c r="B18" s="14" t="s">
        <v>113</v>
      </c>
      <c r="C18" s="15"/>
      <c r="D18" s="15"/>
      <c r="E18" s="12" t="s">
        <v>0</v>
      </c>
      <c r="F18" s="13">
        <v>71.489999999999995</v>
      </c>
      <c r="G18" s="13">
        <v>79</v>
      </c>
      <c r="H18" s="13"/>
      <c r="I18" s="13">
        <f>TRUNC(F18*G18,2)</f>
        <v>5647.71</v>
      </c>
      <c r="J18" s="13">
        <f>TRUNC(F18*H18,2)</f>
        <v>0</v>
      </c>
      <c r="K18" s="52">
        <f t="shared" ref="K18:K37" si="0">TRUNC(I18+J18,2)</f>
        <v>5647.71</v>
      </c>
      <c r="L18" s="78"/>
      <c r="M18" s="80"/>
    </row>
    <row r="19" spans="1:14" s="2" customFormat="1" ht="13.5" customHeight="1" x14ac:dyDescent="0.25">
      <c r="A19" s="12">
        <v>3</v>
      </c>
      <c r="B19" s="93" t="s">
        <v>114</v>
      </c>
      <c r="C19" s="94"/>
      <c r="D19" s="94"/>
      <c r="E19" s="12" t="s">
        <v>0</v>
      </c>
      <c r="F19" s="13">
        <v>227</v>
      </c>
      <c r="G19" s="13">
        <v>38.299999999999997</v>
      </c>
      <c r="H19" s="13"/>
      <c r="I19" s="13">
        <f>TRUNC(F19*G19,2)</f>
        <v>8694.1</v>
      </c>
      <c r="J19" s="13">
        <f>TRUNC(F19*H19,2)</f>
        <v>0</v>
      </c>
      <c r="K19" s="52">
        <f t="shared" si="0"/>
        <v>8694.1</v>
      </c>
      <c r="L19" s="78"/>
      <c r="M19" s="80"/>
    </row>
    <row r="20" spans="1:14" s="2" customFormat="1" ht="13.5" customHeight="1" x14ac:dyDescent="0.25">
      <c r="A20" s="12">
        <v>4</v>
      </c>
      <c r="B20" s="93" t="s">
        <v>115</v>
      </c>
      <c r="C20" s="94"/>
      <c r="D20" s="94"/>
      <c r="E20" s="12" t="s">
        <v>65</v>
      </c>
      <c r="F20" s="13">
        <v>3</v>
      </c>
      <c r="G20" s="13">
        <v>390</v>
      </c>
      <c r="H20" s="13"/>
      <c r="I20" s="13">
        <f>TRUNC(F20*G20,2)</f>
        <v>1170</v>
      </c>
      <c r="J20" s="13">
        <f>TRUNC(F20*H20,2)</f>
        <v>0</v>
      </c>
      <c r="K20" s="52">
        <f t="shared" si="0"/>
        <v>1170</v>
      </c>
      <c r="L20" s="78"/>
      <c r="M20" s="80"/>
    </row>
    <row r="21" spans="1:14" s="2" customFormat="1" ht="13.5" customHeight="1" x14ac:dyDescent="0.25">
      <c r="A21" s="12"/>
      <c r="B21" s="95"/>
      <c r="C21" s="96"/>
      <c r="D21" s="103"/>
      <c r="E21" s="61"/>
      <c r="F21" s="13"/>
      <c r="G21" s="13"/>
      <c r="H21" s="13"/>
      <c r="I21" s="84">
        <f>SUM(I17:I20)</f>
        <v>30521.769999999997</v>
      </c>
      <c r="J21" s="84">
        <f>SUM(J17:J20)</f>
        <v>0</v>
      </c>
      <c r="K21" s="84">
        <f>SUM(K17:K20)</f>
        <v>30521.769999999997</v>
      </c>
      <c r="L21" s="78"/>
      <c r="M21" s="80"/>
    </row>
    <row r="22" spans="1:14" s="2" customFormat="1" ht="13.5" customHeight="1" x14ac:dyDescent="0.25">
      <c r="A22" s="12"/>
      <c r="B22" s="95"/>
      <c r="C22" s="96"/>
      <c r="D22" s="96"/>
      <c r="E22" s="61"/>
      <c r="F22" s="13"/>
      <c r="G22" s="13"/>
      <c r="H22" s="13">
        <f>'ORC GLOBAL'!J26</f>
        <v>0</v>
      </c>
      <c r="I22" s="13"/>
      <c r="J22" s="13"/>
      <c r="K22" s="52"/>
      <c r="L22" s="78"/>
      <c r="M22" s="80"/>
    </row>
    <row r="23" spans="1:14" s="2" customFormat="1" ht="13.5" customHeight="1" x14ac:dyDescent="0.25">
      <c r="A23" s="9"/>
      <c r="B23" s="101"/>
      <c r="C23" s="102"/>
      <c r="D23" s="102"/>
      <c r="E23" s="61"/>
      <c r="F23" s="13"/>
      <c r="G23" s="13">
        <f>'ORC GLOBAL'!I27</f>
        <v>0</v>
      </c>
      <c r="H23" s="13">
        <f>'ORC GLOBAL'!J27</f>
        <v>0</v>
      </c>
      <c r="I23" s="13"/>
      <c r="J23" s="13"/>
      <c r="K23" s="52"/>
      <c r="L23" s="78"/>
      <c r="M23" s="80"/>
    </row>
    <row r="24" spans="1:14" s="2" customFormat="1" ht="13.5" customHeight="1" x14ac:dyDescent="0.25">
      <c r="A24" s="12">
        <v>5</v>
      </c>
      <c r="B24" s="95" t="s">
        <v>116</v>
      </c>
      <c r="C24" s="96"/>
      <c r="D24" s="96"/>
      <c r="E24" s="61" t="s">
        <v>65</v>
      </c>
      <c r="F24" s="13">
        <v>6</v>
      </c>
      <c r="G24" s="13">
        <v>3000</v>
      </c>
      <c r="H24" s="13"/>
      <c r="I24" s="13">
        <f>TRUNC(F24*G24,2)</f>
        <v>18000</v>
      </c>
      <c r="J24" s="13">
        <f>TRUNC(F24*H24,2)</f>
        <v>0</v>
      </c>
      <c r="K24" s="52">
        <f t="shared" si="0"/>
        <v>18000</v>
      </c>
      <c r="L24" s="78"/>
      <c r="M24" s="80"/>
    </row>
    <row r="25" spans="1:14" s="2" customFormat="1" ht="13.5" customHeight="1" x14ac:dyDescent="0.25">
      <c r="A25" s="12"/>
      <c r="B25" s="93"/>
      <c r="C25" s="94"/>
      <c r="D25" s="94"/>
      <c r="E25" s="62"/>
      <c r="F25" s="13"/>
      <c r="G25" s="13"/>
      <c r="H25" s="13"/>
      <c r="I25" s="13">
        <f>TRUNC(F25*G25,2)</f>
        <v>0</v>
      </c>
      <c r="J25" s="13">
        <f>TRUNC(F25*H25,2)</f>
        <v>0</v>
      </c>
      <c r="K25" s="52">
        <f t="shared" si="0"/>
        <v>0</v>
      </c>
      <c r="L25" s="78"/>
      <c r="M25" s="80"/>
    </row>
    <row r="26" spans="1:14" s="2" customFormat="1" ht="13.5" customHeight="1" x14ac:dyDescent="0.25">
      <c r="A26" s="12"/>
      <c r="B26" s="63"/>
      <c r="C26" s="64"/>
      <c r="D26" s="64"/>
      <c r="E26" s="60"/>
      <c r="F26" s="13"/>
      <c r="G26" s="13"/>
      <c r="H26" s="13"/>
      <c r="I26" s="13">
        <f>TRUNC(F26*G26,2)</f>
        <v>0</v>
      </c>
      <c r="J26" s="13">
        <f>TRUNC(F26*H26,2)</f>
        <v>0</v>
      </c>
      <c r="K26" s="52">
        <f t="shared" si="0"/>
        <v>0</v>
      </c>
      <c r="L26" s="78"/>
      <c r="M26" s="80"/>
    </row>
    <row r="27" spans="1:14" s="2" customFormat="1" ht="13.5" customHeight="1" x14ac:dyDescent="0.25">
      <c r="A27" s="12"/>
      <c r="B27" s="63"/>
      <c r="C27" s="64"/>
      <c r="D27" s="64"/>
      <c r="E27" s="60"/>
      <c r="F27" s="13"/>
      <c r="G27" s="13"/>
      <c r="H27" s="13"/>
      <c r="I27" s="13">
        <f>TRUNC(F27*G27,2)</f>
        <v>0</v>
      </c>
      <c r="J27" s="13">
        <f>TRUNC(F27*H27,2)</f>
        <v>0</v>
      </c>
      <c r="K27" s="52">
        <f t="shared" si="0"/>
        <v>0</v>
      </c>
      <c r="L27" s="78"/>
      <c r="M27" s="80"/>
    </row>
    <row r="28" spans="1:14" s="2" customFormat="1" ht="13.5" customHeight="1" x14ac:dyDescent="0.25">
      <c r="A28" s="12"/>
      <c r="B28" s="66"/>
      <c r="C28" s="64"/>
      <c r="D28" s="64"/>
      <c r="E28" s="12"/>
      <c r="F28" s="13"/>
      <c r="G28" s="13"/>
      <c r="H28" s="13"/>
      <c r="I28" s="13">
        <f>TRUNC(F28*G28,2)</f>
        <v>0</v>
      </c>
      <c r="J28" s="13">
        <f>TRUNC(F28*H28,2)</f>
        <v>0</v>
      </c>
      <c r="K28" s="52">
        <f t="shared" si="0"/>
        <v>0</v>
      </c>
      <c r="L28" s="78"/>
      <c r="M28" s="80"/>
      <c r="N28" s="78"/>
    </row>
    <row r="29" spans="1:14" s="2" customFormat="1" ht="13.5" customHeight="1" x14ac:dyDescent="0.25">
      <c r="A29" s="12"/>
      <c r="B29" s="95"/>
      <c r="C29" s="96"/>
      <c r="D29" s="96"/>
      <c r="E29" s="12"/>
      <c r="F29" s="13"/>
      <c r="G29" s="13">
        <f>'ORC GLOBAL'!I36</f>
        <v>0</v>
      </c>
      <c r="H29" s="13">
        <f>'ORC GLOBAL'!J36</f>
        <v>0</v>
      </c>
      <c r="I29" s="84">
        <f>SUM(I24:I28)</f>
        <v>18000</v>
      </c>
      <c r="J29" s="84">
        <f>SUM(J24:J28)</f>
        <v>0</v>
      </c>
      <c r="K29" s="84">
        <f>SUM(K24:K28)</f>
        <v>18000</v>
      </c>
      <c r="L29" s="78"/>
      <c r="M29" s="80"/>
    </row>
    <row r="30" spans="1:14" s="2" customFormat="1" ht="13.5" customHeight="1" x14ac:dyDescent="0.25">
      <c r="A30" s="12"/>
      <c r="B30" s="66"/>
      <c r="C30" s="17"/>
      <c r="D30" s="17"/>
      <c r="E30" s="12"/>
      <c r="F30" s="13"/>
      <c r="G30" s="13">
        <f>'ORC GLOBAL'!I37</f>
        <v>0</v>
      </c>
      <c r="H30" s="13">
        <f>'ORC GLOBAL'!J37</f>
        <v>0</v>
      </c>
      <c r="I30" s="13"/>
      <c r="J30" s="13"/>
      <c r="K30" s="52"/>
      <c r="L30" s="78"/>
      <c r="M30" s="80"/>
    </row>
    <row r="31" spans="1:14" s="2" customFormat="1" ht="13.5" customHeight="1" x14ac:dyDescent="0.25">
      <c r="A31" s="9"/>
      <c r="B31" s="10"/>
      <c r="C31" s="17"/>
      <c r="D31" s="17"/>
      <c r="E31" s="12"/>
      <c r="F31" s="13"/>
      <c r="G31" s="13">
        <f>'ORC GLOBAL'!I38</f>
        <v>0</v>
      </c>
      <c r="H31" s="13">
        <f>'ORC GLOBAL'!J38</f>
        <v>0</v>
      </c>
      <c r="I31" s="13"/>
      <c r="J31" s="13"/>
      <c r="K31" s="52"/>
      <c r="L31" s="78"/>
      <c r="M31" s="80"/>
    </row>
    <row r="32" spans="1:14" s="2" customFormat="1" ht="13.5" customHeight="1" x14ac:dyDescent="0.25">
      <c r="A32" s="12"/>
      <c r="B32" s="66"/>
      <c r="C32" s="17"/>
      <c r="D32" s="17"/>
      <c r="E32" s="12"/>
      <c r="F32" s="13"/>
      <c r="G32" s="13"/>
      <c r="H32" s="13"/>
      <c r="I32" s="13">
        <f t="shared" ref="I32:I38" si="1">TRUNC(F32*G32,2)</f>
        <v>0</v>
      </c>
      <c r="J32" s="13">
        <f t="shared" ref="J32:J38" si="2">TRUNC(F32*H32,2)</f>
        <v>0</v>
      </c>
      <c r="K32" s="52">
        <f t="shared" si="0"/>
        <v>0</v>
      </c>
      <c r="L32" s="78"/>
      <c r="M32" s="80"/>
    </row>
    <row r="33" spans="1:17" s="2" customFormat="1" ht="13.5" customHeight="1" x14ac:dyDescent="0.25">
      <c r="A33" s="12"/>
      <c r="B33" s="66"/>
      <c r="C33" s="17"/>
      <c r="D33" s="17"/>
      <c r="E33" s="12"/>
      <c r="F33" s="13"/>
      <c r="G33" s="13"/>
      <c r="H33" s="13"/>
      <c r="I33" s="13">
        <f t="shared" si="1"/>
        <v>0</v>
      </c>
      <c r="J33" s="13">
        <f t="shared" si="2"/>
        <v>0</v>
      </c>
      <c r="K33" s="52">
        <f t="shared" si="0"/>
        <v>0</v>
      </c>
      <c r="L33" s="13"/>
      <c r="M33" s="52"/>
      <c r="N33" s="78"/>
      <c r="O33" s="80"/>
    </row>
    <row r="34" spans="1:17" s="2" customFormat="1" ht="13.5" customHeight="1" x14ac:dyDescent="0.25">
      <c r="A34" s="12"/>
      <c r="B34" s="66"/>
      <c r="C34" s="17"/>
      <c r="D34" s="17"/>
      <c r="E34" s="12"/>
      <c r="F34" s="13"/>
      <c r="G34" s="13"/>
      <c r="H34" s="13"/>
      <c r="I34" s="13">
        <f t="shared" si="1"/>
        <v>0</v>
      </c>
      <c r="J34" s="13">
        <f t="shared" si="2"/>
        <v>0</v>
      </c>
      <c r="K34" s="52">
        <f t="shared" si="0"/>
        <v>0</v>
      </c>
      <c r="L34" s="78"/>
      <c r="M34" s="80"/>
    </row>
    <row r="35" spans="1:17" s="2" customFormat="1" ht="13.5" customHeight="1" x14ac:dyDescent="0.25">
      <c r="A35" s="12"/>
      <c r="B35" s="66"/>
      <c r="C35" s="17"/>
      <c r="D35" s="17"/>
      <c r="E35" s="12"/>
      <c r="F35" s="13"/>
      <c r="G35" s="13"/>
      <c r="H35" s="13"/>
      <c r="I35" s="13">
        <f t="shared" si="1"/>
        <v>0</v>
      </c>
      <c r="J35" s="13">
        <f t="shared" si="2"/>
        <v>0</v>
      </c>
      <c r="K35" s="52">
        <f t="shared" si="0"/>
        <v>0</v>
      </c>
      <c r="L35" s="78"/>
      <c r="M35" s="80"/>
    </row>
    <row r="36" spans="1:17" s="2" customFormat="1" ht="13.5" customHeight="1" x14ac:dyDescent="0.25">
      <c r="A36" s="12"/>
      <c r="B36" s="66"/>
      <c r="C36" s="17"/>
      <c r="D36" s="17"/>
      <c r="E36" s="12"/>
      <c r="F36" s="13"/>
      <c r="G36" s="13"/>
      <c r="H36" s="13"/>
      <c r="I36" s="13">
        <f t="shared" si="1"/>
        <v>0</v>
      </c>
      <c r="J36" s="13">
        <f t="shared" si="2"/>
        <v>0</v>
      </c>
      <c r="K36" s="52">
        <f t="shared" si="0"/>
        <v>0</v>
      </c>
      <c r="L36" s="78"/>
      <c r="M36" s="80"/>
    </row>
    <row r="37" spans="1:17" s="2" customFormat="1" ht="13.5" customHeight="1" x14ac:dyDescent="0.25">
      <c r="A37" s="12"/>
      <c r="B37" s="66"/>
      <c r="C37" s="17"/>
      <c r="D37" s="17"/>
      <c r="E37" s="12"/>
      <c r="F37" s="13"/>
      <c r="G37" s="13"/>
      <c r="H37" s="13"/>
      <c r="I37" s="13">
        <f t="shared" si="1"/>
        <v>0</v>
      </c>
      <c r="J37" s="13">
        <f t="shared" si="2"/>
        <v>0</v>
      </c>
      <c r="K37" s="52">
        <f t="shared" si="0"/>
        <v>0</v>
      </c>
      <c r="L37" s="78"/>
      <c r="M37" s="80"/>
    </row>
    <row r="38" spans="1:17" s="2" customFormat="1" ht="13.5" customHeight="1" x14ac:dyDescent="0.25">
      <c r="A38" s="12"/>
      <c r="B38" s="66"/>
      <c r="C38" s="17"/>
      <c r="D38" s="17"/>
      <c r="E38" s="12"/>
      <c r="F38" s="13"/>
      <c r="G38" s="13"/>
      <c r="H38" s="13"/>
      <c r="I38" s="13">
        <f t="shared" si="1"/>
        <v>0</v>
      </c>
      <c r="J38" s="13">
        <f t="shared" si="2"/>
        <v>0</v>
      </c>
      <c r="K38" s="52">
        <f>TRUNC(I38+J38,2)</f>
        <v>0</v>
      </c>
      <c r="L38" s="78"/>
      <c r="M38" s="80"/>
    </row>
    <row r="39" spans="1:17" s="2" customFormat="1" ht="13.5" customHeight="1" x14ac:dyDescent="0.25">
      <c r="A39" s="12"/>
      <c r="B39" s="95"/>
      <c r="C39" s="96"/>
      <c r="D39" s="103"/>
      <c r="E39" s="12"/>
      <c r="F39" s="13"/>
      <c r="G39" s="13"/>
      <c r="H39" s="13"/>
      <c r="I39" s="84">
        <f>SUM(I32:I37)</f>
        <v>0</v>
      </c>
      <c r="J39" s="84">
        <f>SUM(J32:J37)</f>
        <v>0</v>
      </c>
      <c r="K39" s="84">
        <f>SUM(K32:K38)</f>
        <v>0</v>
      </c>
      <c r="L39" s="78"/>
      <c r="M39" s="80"/>
    </row>
    <row r="40" spans="1:17" s="2" customFormat="1" ht="12.75" x14ac:dyDescent="0.25">
      <c r="A40" s="21"/>
      <c r="B40" s="67"/>
      <c r="C40" s="68"/>
      <c r="D40" s="68"/>
      <c r="E40" s="21"/>
      <c r="F40" s="22"/>
      <c r="G40" s="83"/>
      <c r="H40" s="83"/>
      <c r="I40" s="83"/>
      <c r="J40" s="83"/>
      <c r="K40" s="53"/>
      <c r="L40" s="78"/>
      <c r="M40" s="80"/>
      <c r="N40" s="16"/>
      <c r="O40" s="16"/>
    </row>
    <row r="41" spans="1:17" s="2" customFormat="1" ht="17.25" customHeight="1" x14ac:dyDescent="0.25">
      <c r="A41" s="97" t="s">
        <v>6</v>
      </c>
      <c r="B41" s="98"/>
      <c r="C41" s="98"/>
      <c r="D41" s="98"/>
      <c r="E41" s="98"/>
      <c r="F41" s="98"/>
      <c r="G41" s="82"/>
      <c r="H41" s="82"/>
      <c r="I41" s="85">
        <f>I39+I29+I21</f>
        <v>48521.77</v>
      </c>
      <c r="J41" s="85">
        <f>J39+J29+J21</f>
        <v>0</v>
      </c>
      <c r="K41" s="85">
        <f>K39+K29+K21</f>
        <v>48521.77</v>
      </c>
      <c r="L41" s="78"/>
      <c r="M41" s="80"/>
      <c r="N41" s="16"/>
      <c r="O41" s="16"/>
    </row>
    <row r="42" spans="1:17" s="20" customFormat="1" ht="12.75" x14ac:dyDescent="0.25">
      <c r="A42" s="23"/>
      <c r="B42" s="23"/>
      <c r="C42" s="23"/>
      <c r="D42" s="24"/>
      <c r="E42" s="23"/>
      <c r="F42" s="23"/>
      <c r="G42" s="23"/>
      <c r="H42" s="23"/>
      <c r="I42" s="23"/>
      <c r="J42" s="23"/>
      <c r="K42" s="25"/>
      <c r="L42" s="25"/>
      <c r="M42" s="25"/>
      <c r="N42" s="19"/>
      <c r="O42" s="19"/>
    </row>
    <row r="43" spans="1:17" s="2" customFormat="1" ht="12.75" x14ac:dyDescent="0.25">
      <c r="A43" s="26"/>
      <c r="B43" s="27"/>
      <c r="C43" s="27"/>
      <c r="D43" s="27" t="s">
        <v>106</v>
      </c>
      <c r="E43" s="27"/>
      <c r="F43" s="28"/>
      <c r="G43" s="27"/>
      <c r="H43" s="27"/>
      <c r="I43" s="27"/>
      <c r="J43" s="27"/>
      <c r="K43" s="28"/>
      <c r="L43" s="28"/>
      <c r="M43" s="28"/>
      <c r="N43" s="16"/>
    </row>
    <row r="44" spans="1:17" s="20" customFormat="1" ht="12.75" customHeight="1" x14ac:dyDescent="0.3">
      <c r="A44" s="26"/>
      <c r="B44" s="23"/>
      <c r="C44" s="29"/>
      <c r="D44" s="24" t="s">
        <v>107</v>
      </c>
      <c r="E44" s="27"/>
      <c r="F44" s="28"/>
      <c r="G44" s="26"/>
      <c r="H44" s="26"/>
      <c r="I44" s="26"/>
      <c r="J44" s="26"/>
      <c r="K44" s="25"/>
      <c r="L44" s="28"/>
      <c r="M44" s="25"/>
      <c r="N44" s="19"/>
    </row>
    <row r="45" spans="1:17" s="2" customFormat="1" ht="12.75" x14ac:dyDescent="0.25">
      <c r="A45" s="26"/>
      <c r="B45" s="27"/>
      <c r="C45" s="27"/>
      <c r="D45" s="27"/>
      <c r="E45" s="27"/>
      <c r="F45" s="28"/>
      <c r="G45" s="23"/>
      <c r="H45" s="23"/>
      <c r="I45" s="26"/>
      <c r="J45" s="26"/>
      <c r="M45" s="28"/>
      <c r="N45" s="30"/>
      <c r="P45" s="18"/>
      <c r="Q45" s="16"/>
    </row>
    <row r="46" spans="1:17" s="2" customFormat="1" ht="18.75" x14ac:dyDescent="0.25">
      <c r="A46" s="27"/>
      <c r="B46" s="27"/>
      <c r="C46" s="27"/>
      <c r="D46" s="89" t="s">
        <v>117</v>
      </c>
      <c r="E46" s="89"/>
      <c r="F46" s="89"/>
      <c r="G46" s="90"/>
      <c r="H46" s="26"/>
      <c r="I46" s="27"/>
      <c r="J46" s="27"/>
      <c r="M46" s="28"/>
      <c r="N46" s="28"/>
      <c r="P46" s="16"/>
    </row>
    <row r="47" spans="1:17" s="2" customFormat="1" ht="12.75" x14ac:dyDescent="0.25">
      <c r="A47" s="26"/>
      <c r="B47" s="27"/>
      <c r="C47" s="27"/>
      <c r="D47" s="27"/>
      <c r="E47" s="27"/>
      <c r="F47" s="28"/>
      <c r="G47" s="24"/>
      <c r="H47" s="24"/>
      <c r="I47" s="24"/>
      <c r="J47" s="24"/>
      <c r="K47" s="28"/>
      <c r="L47" s="28"/>
      <c r="M47" s="30"/>
      <c r="O47" s="18"/>
      <c r="P47" s="16"/>
    </row>
  </sheetData>
  <mergeCells count="18">
    <mergeCell ref="A5:K5"/>
    <mergeCell ref="A13:A14"/>
    <mergeCell ref="B13:D14"/>
    <mergeCell ref="E13:E14"/>
    <mergeCell ref="F13:F14"/>
    <mergeCell ref="G13:H13"/>
    <mergeCell ref="I13:J13"/>
    <mergeCell ref="B25:D25"/>
    <mergeCell ref="B29:D29"/>
    <mergeCell ref="B39:D39"/>
    <mergeCell ref="A41:F41"/>
    <mergeCell ref="B15:D15"/>
    <mergeCell ref="B19:D19"/>
    <mergeCell ref="B20:D20"/>
    <mergeCell ref="B21:D21"/>
    <mergeCell ref="B23:D23"/>
    <mergeCell ref="B24:D24"/>
    <mergeCell ref="B22:D22"/>
  </mergeCells>
  <pageMargins left="0.5118110236220472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5"/>
  <sheetViews>
    <sheetView zoomScale="75" zoomScaleNormal="75" workbookViewId="0">
      <selection activeCell="M33" sqref="M33"/>
    </sheetView>
  </sheetViews>
  <sheetFormatPr defaultRowHeight="12.75" x14ac:dyDescent="0.25"/>
  <cols>
    <col min="1" max="1" width="7.28515625" style="2" customWidth="1"/>
    <col min="2" max="2" width="2.42578125" style="2" customWidth="1"/>
    <col min="3" max="3" width="27.28515625" style="2" customWidth="1"/>
    <col min="4" max="4" width="17" style="2" customWidth="1"/>
    <col min="5" max="6" width="6.85546875" style="2" customWidth="1"/>
    <col min="7" max="7" width="10.28515625" style="2" customWidth="1"/>
    <col min="8" max="8" width="10.7109375" style="2" customWidth="1"/>
    <col min="9" max="9" width="9.85546875" style="2" customWidth="1"/>
    <col min="10" max="10" width="9.42578125" style="2" customWidth="1"/>
    <col min="11" max="11" width="17" style="2" customWidth="1"/>
    <col min="12" max="12" width="15.85546875" style="2" customWidth="1"/>
    <col min="13" max="13" width="17.7109375" style="2" customWidth="1"/>
    <col min="14" max="14" width="12.140625" style="2" bestFit="1" customWidth="1"/>
    <col min="15" max="15" width="12.28515625" style="2" bestFit="1" customWidth="1"/>
    <col min="16" max="17" width="11" style="2" bestFit="1" customWidth="1"/>
    <col min="18" max="16384" width="9.140625" style="2"/>
  </cols>
  <sheetData>
    <row r="1" spans="1:14" x14ac:dyDescent="0.25">
      <c r="A1" s="20" t="s">
        <v>26</v>
      </c>
    </row>
    <row r="2" spans="1:14" x14ac:dyDescent="0.25">
      <c r="A2" s="20" t="s">
        <v>27</v>
      </c>
    </row>
    <row r="3" spans="1:14" x14ac:dyDescent="0.25">
      <c r="A3" s="20"/>
    </row>
    <row r="4" spans="1:14" x14ac:dyDescent="0.25">
      <c r="A4" s="20"/>
    </row>
    <row r="5" spans="1:14" ht="15" customHeight="1" x14ac:dyDescent="0.25">
      <c r="A5" s="91" t="s">
        <v>94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4" ht="15" customHeight="1" x14ac:dyDescent="0.2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</row>
    <row r="7" spans="1:14" ht="15" customHeight="1" x14ac:dyDescent="0.25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</row>
    <row r="8" spans="1:14" x14ac:dyDescent="0.25">
      <c r="A8" s="2" t="s">
        <v>7</v>
      </c>
    </row>
    <row r="9" spans="1:14" x14ac:dyDescent="0.25">
      <c r="A9" s="2" t="s">
        <v>28</v>
      </c>
      <c r="B9" s="2" t="s">
        <v>97</v>
      </c>
      <c r="N9" s="16"/>
    </row>
    <row r="10" spans="1:14" x14ac:dyDescent="0.25">
      <c r="B10" s="2" t="s">
        <v>98</v>
      </c>
      <c r="N10" s="16"/>
    </row>
    <row r="11" spans="1:14" x14ac:dyDescent="0.25">
      <c r="A11" s="2" t="s">
        <v>99</v>
      </c>
      <c r="G11" s="2" t="s">
        <v>24</v>
      </c>
      <c r="H11" s="18"/>
      <c r="I11" s="78">
        <f>FRANCISCO!G10+MARECHAL!G8+ABRAÃO!G10+JOÃO!G10+BRUNO!G11+GENERAL!G11+'GETÚLIO E JOÃO'!G11+'ORÇAMENTO GLOBAL'!G10</f>
        <v>2171.62</v>
      </c>
      <c r="J11" s="2" t="s">
        <v>23</v>
      </c>
      <c r="K11" s="18"/>
      <c r="L11" s="18"/>
    </row>
    <row r="12" spans="1:14" s="27" customFormat="1" ht="12" customHeight="1" x14ac:dyDescent="0.25">
      <c r="A12" s="27" t="s">
        <v>20</v>
      </c>
      <c r="G12" s="2" t="s">
        <v>25</v>
      </c>
      <c r="H12" s="18"/>
      <c r="I12" s="78">
        <f>FRANCISCO!G11+MARECHAL!G9+ABRAÃO!G11+JOÃO!G11+BRUNO!G12+GENERAL!G12+'GETÚLIO E JOÃO'!G12+'ORÇAMENTO GLOBAL'!G11</f>
        <v>32140.560000000001</v>
      </c>
      <c r="J12" s="2" t="s">
        <v>0</v>
      </c>
      <c r="K12" s="18"/>
      <c r="L12" s="18"/>
      <c r="M12" s="2"/>
    </row>
    <row r="13" spans="1:14" ht="12" customHeight="1" x14ac:dyDescent="0.25">
      <c r="A13" s="27"/>
      <c r="B13" s="27"/>
      <c r="C13" s="27"/>
      <c r="D13" s="27"/>
      <c r="E13" s="5"/>
      <c r="F13" s="5"/>
      <c r="G13" s="5"/>
      <c r="H13" s="5"/>
      <c r="I13" s="27"/>
      <c r="J13" s="27"/>
      <c r="K13" s="27"/>
      <c r="L13" s="27"/>
    </row>
    <row r="14" spans="1:14" x14ac:dyDescent="0.25">
      <c r="A14" s="92" t="s">
        <v>3</v>
      </c>
      <c r="B14" s="92" t="s">
        <v>1</v>
      </c>
      <c r="C14" s="92"/>
      <c r="D14" s="92"/>
      <c r="E14" s="92" t="s">
        <v>2</v>
      </c>
      <c r="F14" s="4"/>
      <c r="G14" s="92" t="s">
        <v>29</v>
      </c>
      <c r="H14" s="48"/>
      <c r="I14" s="92" t="s">
        <v>83</v>
      </c>
      <c r="J14" s="92"/>
      <c r="K14" s="92" t="s">
        <v>84</v>
      </c>
      <c r="L14" s="92"/>
      <c r="M14" s="4" t="s">
        <v>21</v>
      </c>
    </row>
    <row r="15" spans="1:14" x14ac:dyDescent="0.25">
      <c r="A15" s="92"/>
      <c r="B15" s="92"/>
      <c r="C15" s="92"/>
      <c r="D15" s="92"/>
      <c r="E15" s="92"/>
      <c r="F15" s="4" t="s">
        <v>92</v>
      </c>
      <c r="G15" s="92"/>
      <c r="H15" s="81"/>
      <c r="I15" s="4" t="s">
        <v>82</v>
      </c>
      <c r="J15" s="4" t="s">
        <v>81</v>
      </c>
      <c r="K15" s="4" t="s">
        <v>82</v>
      </c>
      <c r="L15" s="4" t="s">
        <v>81</v>
      </c>
      <c r="M15" s="4" t="s">
        <v>22</v>
      </c>
    </row>
    <row r="16" spans="1:14" ht="13.5" customHeight="1" x14ac:dyDescent="0.25">
      <c r="A16" s="6"/>
      <c r="B16" s="99"/>
      <c r="C16" s="100"/>
      <c r="D16" s="100"/>
      <c r="E16" s="7"/>
      <c r="F16" s="7"/>
      <c r="G16" s="8"/>
      <c r="H16" s="8"/>
      <c r="I16" s="13"/>
      <c r="J16" s="13"/>
      <c r="K16" s="13"/>
      <c r="L16" s="13"/>
      <c r="M16" s="43"/>
    </row>
    <row r="17" spans="1:15" ht="13.5" customHeight="1" x14ac:dyDescent="0.25">
      <c r="A17" s="9" t="s">
        <v>5</v>
      </c>
      <c r="B17" s="10" t="s">
        <v>4</v>
      </c>
      <c r="C17" s="11"/>
      <c r="D17" s="11"/>
      <c r="E17" s="12"/>
      <c r="F17" s="12"/>
      <c r="G17" s="13"/>
      <c r="H17" s="13"/>
      <c r="I17" s="13"/>
      <c r="J17" s="13"/>
      <c r="K17" s="13"/>
      <c r="L17" s="13"/>
      <c r="M17" s="51"/>
    </row>
    <row r="18" spans="1:15" ht="13.5" customHeight="1" x14ac:dyDescent="0.25">
      <c r="A18" s="12" t="s">
        <v>45</v>
      </c>
      <c r="B18" s="66" t="s">
        <v>79</v>
      </c>
      <c r="C18" s="11"/>
      <c r="D18" s="11"/>
      <c r="E18" s="79" t="s">
        <v>0</v>
      </c>
      <c r="F18" s="79"/>
      <c r="G18" s="13">
        <f>FRANCISCO!F17+MARECHAL!F15+ABRAÃO!F17+JOÃO!F17+BRUNO!F18+GENERAL!F18+'GETÚLIO E JOÃO'!F18+'ORÇAMENTO GLOBAL'!F17</f>
        <v>32541.360000000001</v>
      </c>
      <c r="H18" s="13">
        <v>0.7</v>
      </c>
      <c r="I18" s="13">
        <f>H18*0.2</f>
        <v>0.13999999999999999</v>
      </c>
      <c r="J18" s="13">
        <f>H18-I18</f>
        <v>0.55999999999999994</v>
      </c>
      <c r="K18" s="13">
        <f>TRUNC(G18*I18,2)</f>
        <v>4555.79</v>
      </c>
      <c r="L18" s="13">
        <f>TRUNC(G18*J18,2)</f>
        <v>18223.16</v>
      </c>
      <c r="M18" s="52">
        <f>TRUNC(K18+L18,2)-0.03</f>
        <v>22778.920000000002</v>
      </c>
      <c r="N18" s="78"/>
      <c r="O18" s="80"/>
    </row>
    <row r="19" spans="1:15" ht="13.5" customHeight="1" x14ac:dyDescent="0.25">
      <c r="A19" s="12" t="s">
        <v>46</v>
      </c>
      <c r="B19" s="93" t="s">
        <v>73</v>
      </c>
      <c r="C19" s="94"/>
      <c r="D19" s="94"/>
      <c r="E19" s="60" t="s">
        <v>64</v>
      </c>
      <c r="F19" s="60"/>
      <c r="G19" s="13">
        <v>0</v>
      </c>
      <c r="H19" s="13"/>
      <c r="I19" s="13">
        <f>H19*0.7</f>
        <v>0</v>
      </c>
      <c r="J19" s="13">
        <f t="shared" ref="J19:J44" si="0">H19-I19</f>
        <v>0</v>
      </c>
      <c r="K19" s="13">
        <f t="shared" ref="K19:K24" si="1">TRUNC(G19*I19,2)</f>
        <v>0</v>
      </c>
      <c r="L19" s="13">
        <f t="shared" ref="L19:L24" si="2">TRUNC(G19*J19,2)</f>
        <v>0</v>
      </c>
      <c r="M19" s="52">
        <f>TRUNC(K19+L19,2)</f>
        <v>0</v>
      </c>
      <c r="N19" s="78"/>
      <c r="O19" s="80"/>
    </row>
    <row r="20" spans="1:15" ht="13.5" customHeight="1" x14ac:dyDescent="0.25">
      <c r="A20" s="12" t="s">
        <v>47</v>
      </c>
      <c r="B20" s="93" t="s">
        <v>31</v>
      </c>
      <c r="C20" s="94"/>
      <c r="D20" s="94"/>
      <c r="E20" s="60" t="s">
        <v>64</v>
      </c>
      <c r="F20" s="60"/>
      <c r="G20" s="13">
        <v>0</v>
      </c>
      <c r="H20" s="13"/>
      <c r="I20" s="13">
        <f>H20*0.7</f>
        <v>0</v>
      </c>
      <c r="J20" s="13">
        <f t="shared" si="0"/>
        <v>0</v>
      </c>
      <c r="K20" s="13">
        <f t="shared" si="1"/>
        <v>0</v>
      </c>
      <c r="L20" s="13">
        <f t="shared" si="2"/>
        <v>0</v>
      </c>
      <c r="M20" s="52">
        <f>TRUNC(K20+L20,2)</f>
        <v>0</v>
      </c>
      <c r="N20" s="78"/>
      <c r="O20" s="80"/>
    </row>
    <row r="21" spans="1:15" ht="13.5" customHeight="1" x14ac:dyDescent="0.25">
      <c r="A21" s="12" t="s">
        <v>48</v>
      </c>
      <c r="B21" s="14" t="s">
        <v>30</v>
      </c>
      <c r="C21" s="15"/>
      <c r="D21" s="15"/>
      <c r="E21" s="12" t="s">
        <v>0</v>
      </c>
      <c r="F21" s="12" t="s">
        <v>93</v>
      </c>
      <c r="G21" s="13">
        <f>FRANCISCO!F18+MARECHAL!F18+ABRAÃO!F20+JOÃO!F20+BRUNO!F21+GENERAL!F21+'GETÚLIO E JOÃO'!F21+'ORÇAMENTO GLOBAL'!F18</f>
        <v>32212.050000000003</v>
      </c>
      <c r="H21" s="13">
        <v>1.35</v>
      </c>
      <c r="I21" s="13">
        <f>H21*0.8</f>
        <v>1.08</v>
      </c>
      <c r="J21" s="13">
        <f t="shared" si="0"/>
        <v>0.27</v>
      </c>
      <c r="K21" s="13">
        <f t="shared" si="1"/>
        <v>34789.01</v>
      </c>
      <c r="L21" s="13">
        <f t="shared" si="2"/>
        <v>8697.25</v>
      </c>
      <c r="M21" s="52">
        <f>TRUNC(K21+L21,2)-0.04</f>
        <v>43486.22</v>
      </c>
      <c r="N21" s="78"/>
      <c r="O21" s="80"/>
    </row>
    <row r="22" spans="1:15" ht="13.5" customHeight="1" x14ac:dyDescent="0.25">
      <c r="A22" s="12" t="s">
        <v>49</v>
      </c>
      <c r="B22" s="93" t="s">
        <v>71</v>
      </c>
      <c r="C22" s="94"/>
      <c r="D22" s="94"/>
      <c r="E22" s="12" t="s">
        <v>64</v>
      </c>
      <c r="F22" s="12" t="s">
        <v>93</v>
      </c>
      <c r="G22" s="13">
        <f>FRANCISCO!F19+MARECHAL!F19+ABRAÃO!F21+JOÃO!F21+BRUNO!F22+GENERAL!F22+'GETÚLIO E JOÃO'!F22+'ORÇAMENTO GLOBAL'!F19</f>
        <v>1512.6224000000002</v>
      </c>
      <c r="H22" s="13">
        <v>600</v>
      </c>
      <c r="I22" s="13">
        <f>H22*0.8</f>
        <v>480</v>
      </c>
      <c r="J22" s="13">
        <f t="shared" si="0"/>
        <v>120</v>
      </c>
      <c r="K22" s="13">
        <f t="shared" si="1"/>
        <v>726058.75</v>
      </c>
      <c r="L22" s="13">
        <f t="shared" si="2"/>
        <v>181514.68</v>
      </c>
      <c r="M22" s="52">
        <f>TRUNC(K22+L22,2)-0.02</f>
        <v>907573.41</v>
      </c>
      <c r="N22" s="78"/>
      <c r="O22" s="80"/>
    </row>
    <row r="23" spans="1:15" ht="13.5" customHeight="1" x14ac:dyDescent="0.25">
      <c r="A23" s="12" t="s">
        <v>50</v>
      </c>
      <c r="B23" s="14" t="s">
        <v>30</v>
      </c>
      <c r="C23" s="15"/>
      <c r="D23" s="15"/>
      <c r="E23" s="12" t="s">
        <v>0</v>
      </c>
      <c r="F23" s="12" t="s">
        <v>93</v>
      </c>
      <c r="G23" s="13" t="e">
        <f>FRANCISCO!F20+MARECHAL!F20+ABRAÃO!F22+JOÃO!F22+BRUNO!F23+GENERAL!F23+'GETÚLIO E JOÃO'!F23+'ORÇAMENTO GLOBAL'!#REF!</f>
        <v>#REF!</v>
      </c>
      <c r="H23" s="13">
        <f>H21</f>
        <v>1.35</v>
      </c>
      <c r="I23" s="13">
        <f>H23*0.8</f>
        <v>1.08</v>
      </c>
      <c r="J23" s="13">
        <f t="shared" si="0"/>
        <v>0.27</v>
      </c>
      <c r="K23" s="13" t="e">
        <f t="shared" si="1"/>
        <v>#REF!</v>
      </c>
      <c r="L23" s="13" t="e">
        <f t="shared" si="2"/>
        <v>#REF!</v>
      </c>
      <c r="M23" s="52" t="e">
        <f>TRUNC(K23+L23,2)-0.04</f>
        <v>#REF!</v>
      </c>
      <c r="N23" s="78"/>
      <c r="O23" s="80"/>
    </row>
    <row r="24" spans="1:15" ht="13.5" customHeight="1" x14ac:dyDescent="0.25">
      <c r="A24" s="12" t="s">
        <v>80</v>
      </c>
      <c r="B24" s="93" t="s">
        <v>72</v>
      </c>
      <c r="C24" s="94"/>
      <c r="D24" s="94"/>
      <c r="E24" s="12" t="s">
        <v>64</v>
      </c>
      <c r="F24" s="12" t="s">
        <v>93</v>
      </c>
      <c r="G24" s="13">
        <f>FRANCISCO!F21+MARECHAL!F21+ABRAÃO!F23+JOÃO!F23+BRUNO!F24+GENERAL!F24+'GETÚLIO E JOÃO'!F24+'ORÇAMENTO GLOBAL'!F20</f>
        <v>1288.6224000000002</v>
      </c>
      <c r="H24" s="13">
        <f>H22</f>
        <v>600</v>
      </c>
      <c r="I24" s="13">
        <f>H24*0.8</f>
        <v>480</v>
      </c>
      <c r="J24" s="13">
        <f t="shared" si="0"/>
        <v>120</v>
      </c>
      <c r="K24" s="13">
        <f t="shared" si="1"/>
        <v>618538.75</v>
      </c>
      <c r="L24" s="13">
        <f t="shared" si="2"/>
        <v>154634.68</v>
      </c>
      <c r="M24" s="52">
        <f>TRUNC(K24+L24,2)-0.02</f>
        <v>773173.41</v>
      </c>
      <c r="N24" s="78"/>
      <c r="O24" s="80"/>
    </row>
    <row r="25" spans="1:15" ht="13.5" customHeight="1" x14ac:dyDescent="0.25">
      <c r="A25" s="12"/>
      <c r="B25" s="95" t="s">
        <v>66</v>
      </c>
      <c r="C25" s="96"/>
      <c r="D25" s="96"/>
      <c r="E25" s="61"/>
      <c r="F25" s="88"/>
      <c r="G25" s="13"/>
      <c r="H25" s="13"/>
      <c r="I25" s="13"/>
      <c r="J25" s="13"/>
      <c r="K25" s="84" t="e">
        <f>SUM(K18:K24)</f>
        <v>#REF!</v>
      </c>
      <c r="L25" s="84" t="e">
        <f>SUM(L18:L24)</f>
        <v>#REF!</v>
      </c>
      <c r="M25" s="84" t="e">
        <f>SUM(M18:M24)</f>
        <v>#REF!</v>
      </c>
      <c r="N25" s="78"/>
      <c r="O25" s="80"/>
    </row>
    <row r="26" spans="1:15" ht="13.5" customHeight="1" x14ac:dyDescent="0.25">
      <c r="A26" s="12"/>
      <c r="B26" s="58"/>
      <c r="C26" s="59"/>
      <c r="D26" s="59"/>
      <c r="E26" s="61"/>
      <c r="F26" s="88"/>
      <c r="G26" s="13"/>
      <c r="H26" s="13"/>
      <c r="I26" s="13"/>
      <c r="J26" s="13"/>
      <c r="K26" s="13"/>
      <c r="L26" s="13"/>
      <c r="M26" s="52"/>
      <c r="N26" s="78"/>
      <c r="O26" s="80"/>
    </row>
    <row r="27" spans="1:15" ht="13.5" customHeight="1" x14ac:dyDescent="0.25">
      <c r="A27" s="9" t="s">
        <v>51</v>
      </c>
      <c r="B27" s="101" t="s">
        <v>33</v>
      </c>
      <c r="C27" s="102"/>
      <c r="D27" s="102"/>
      <c r="E27" s="61"/>
      <c r="F27" s="88"/>
      <c r="G27" s="13"/>
      <c r="H27" s="13"/>
      <c r="I27" s="13"/>
      <c r="J27" s="13"/>
      <c r="K27" s="13"/>
      <c r="L27" s="13"/>
      <c r="M27" s="52"/>
      <c r="N27" s="78"/>
      <c r="O27" s="80"/>
    </row>
    <row r="28" spans="1:15" ht="13.5" customHeight="1" x14ac:dyDescent="0.25">
      <c r="A28" s="12" t="s">
        <v>52</v>
      </c>
      <c r="B28" s="93" t="s">
        <v>32</v>
      </c>
      <c r="C28" s="94"/>
      <c r="D28" s="94"/>
      <c r="E28" s="61" t="s">
        <v>64</v>
      </c>
      <c r="F28" s="88"/>
      <c r="G28" s="13">
        <f>FRANCISCO!F25+MARECHAL!F25+ABRAÃO!F27+JOÃO!F27+BRUNO!F28+GENERAL!F28+'GETÚLIO E JOÃO'!F28+'ORÇAMENTO GLOBAL'!F24</f>
        <v>1650.3000000000002</v>
      </c>
      <c r="H28" s="13">
        <v>16.14</v>
      </c>
      <c r="I28" s="13">
        <f>H28*0.6</f>
        <v>9.6839999999999993</v>
      </c>
      <c r="J28" s="13">
        <f t="shared" si="0"/>
        <v>6.4560000000000013</v>
      </c>
      <c r="K28" s="13">
        <f t="shared" ref="K28:K35" si="3">TRUNC(G28*I28,2)</f>
        <v>15981.5</v>
      </c>
      <c r="L28" s="13">
        <f t="shared" ref="L28:L35" si="4">TRUNC(G28*J28,2)</f>
        <v>10654.33</v>
      </c>
      <c r="M28" s="52">
        <f>TRUNC(K28+L28,2)-0.05</f>
        <v>26635.780000000002</v>
      </c>
      <c r="N28" s="78"/>
      <c r="O28" s="80"/>
    </row>
    <row r="29" spans="1:15" ht="13.5" customHeight="1" x14ac:dyDescent="0.25">
      <c r="A29" s="12" t="s">
        <v>76</v>
      </c>
      <c r="B29" s="58" t="s">
        <v>38</v>
      </c>
      <c r="C29" s="59"/>
      <c r="D29" s="59"/>
      <c r="E29" s="62" t="s">
        <v>23</v>
      </c>
      <c r="F29" s="60"/>
      <c r="G29" s="13">
        <v>0</v>
      </c>
      <c r="H29" s="13">
        <v>16.82</v>
      </c>
      <c r="I29" s="13">
        <f>H29*0.8</f>
        <v>13.456000000000001</v>
      </c>
      <c r="J29" s="13">
        <f t="shared" si="0"/>
        <v>3.363999999999999</v>
      </c>
      <c r="K29" s="13">
        <f t="shared" si="3"/>
        <v>0</v>
      </c>
      <c r="L29" s="13">
        <f t="shared" si="4"/>
        <v>0</v>
      </c>
      <c r="M29" s="52">
        <f>TRUNC(K29+L29,2)</f>
        <v>0</v>
      </c>
      <c r="N29" s="78"/>
      <c r="O29" s="80"/>
    </row>
    <row r="30" spans="1:15" ht="13.5" customHeight="1" x14ac:dyDescent="0.25">
      <c r="A30" s="12" t="s">
        <v>53</v>
      </c>
      <c r="B30" s="93" t="s">
        <v>35</v>
      </c>
      <c r="C30" s="94"/>
      <c r="D30" s="94"/>
      <c r="E30" s="62" t="s">
        <v>64</v>
      </c>
      <c r="F30" s="60"/>
      <c r="G30" s="13">
        <f>FRANCISCO!F26+MARECHAL!F26+ABRAÃO!F29+JOÃO!F29+BRUNO!F30+GENERAL!F30+'GETÚLIO E JOÃO'!F30+'ORÇAMENTO GLOBAL'!F25</f>
        <v>1899.67</v>
      </c>
      <c r="H30" s="13">
        <v>4.68</v>
      </c>
      <c r="I30" s="13">
        <f t="shared" ref="I30:I35" si="5">H30*0.8</f>
        <v>3.7439999999999998</v>
      </c>
      <c r="J30" s="13">
        <f t="shared" si="0"/>
        <v>0.93599999999999994</v>
      </c>
      <c r="K30" s="13">
        <f t="shared" si="3"/>
        <v>7112.36</v>
      </c>
      <c r="L30" s="13">
        <f t="shared" si="4"/>
        <v>1778.09</v>
      </c>
      <c r="M30" s="52">
        <f>TRUNC(K30+L30,2)-0.05</f>
        <v>8890.4000000000015</v>
      </c>
      <c r="N30" s="78"/>
      <c r="O30" s="80"/>
    </row>
    <row r="31" spans="1:15" ht="13.5" customHeight="1" x14ac:dyDescent="0.25">
      <c r="A31" s="12" t="s">
        <v>77</v>
      </c>
      <c r="B31" s="63" t="s">
        <v>34</v>
      </c>
      <c r="C31" s="64"/>
      <c r="D31" s="64"/>
      <c r="E31" s="60" t="s">
        <v>23</v>
      </c>
      <c r="F31" s="60"/>
      <c r="G31" s="13">
        <f>FRANCISCO!F27+MARECHAL!F27+ABRAÃO!F30+JOÃO!F30+BRUNO!F31+GENERAL!F31+'GETÚLIO E JOÃO'!F31+'ORÇAMENTO GLOBAL'!F26</f>
        <v>340</v>
      </c>
      <c r="H31" s="13">
        <v>45.5</v>
      </c>
      <c r="I31" s="13">
        <f t="shared" si="5"/>
        <v>36.4</v>
      </c>
      <c r="J31" s="13">
        <f t="shared" si="0"/>
        <v>9.1000000000000014</v>
      </c>
      <c r="K31" s="13">
        <f t="shared" si="3"/>
        <v>12376</v>
      </c>
      <c r="L31" s="13">
        <f t="shared" si="4"/>
        <v>3094</v>
      </c>
      <c r="M31" s="52">
        <f>TRUNC(K31+L31,2)</f>
        <v>15470</v>
      </c>
      <c r="N31" s="78"/>
      <c r="O31" s="80"/>
    </row>
    <row r="32" spans="1:15" ht="13.5" customHeight="1" x14ac:dyDescent="0.25">
      <c r="A32" s="12" t="s">
        <v>54</v>
      </c>
      <c r="B32" s="63" t="s">
        <v>37</v>
      </c>
      <c r="C32" s="64"/>
      <c r="D32" s="64"/>
      <c r="E32" s="60" t="s">
        <v>23</v>
      </c>
      <c r="F32" s="60"/>
      <c r="G32" s="13">
        <f>FRANCISCO!F28+MARECHAL!F28+ABRAÃO!F31+JOÃO!F31+BRUNO!F32+GENERAL!F32+'GETÚLIO E JOÃO'!F32+'ORÇAMENTO GLOBAL'!F27</f>
        <v>1247</v>
      </c>
      <c r="H32" s="13">
        <v>56</v>
      </c>
      <c r="I32" s="13">
        <f t="shared" si="5"/>
        <v>44.800000000000004</v>
      </c>
      <c r="J32" s="13">
        <f t="shared" si="0"/>
        <v>11.199999999999996</v>
      </c>
      <c r="K32" s="13">
        <f t="shared" si="3"/>
        <v>55865.599999999999</v>
      </c>
      <c r="L32" s="13">
        <f t="shared" si="4"/>
        <v>13966.4</v>
      </c>
      <c r="M32" s="52">
        <f>TRUNC(K32+L32,2)</f>
        <v>69832</v>
      </c>
      <c r="N32" s="78"/>
      <c r="O32" s="80"/>
    </row>
    <row r="33" spans="1:17" ht="13.5" customHeight="1" x14ac:dyDescent="0.25">
      <c r="A33" s="12" t="s">
        <v>55</v>
      </c>
      <c r="B33" s="63" t="s">
        <v>75</v>
      </c>
      <c r="C33" s="64"/>
      <c r="D33" s="64"/>
      <c r="E33" s="60" t="s">
        <v>23</v>
      </c>
      <c r="F33" s="60"/>
      <c r="G33" s="13">
        <f>MARECHAL!F29+ABRAÃO!F32+JOÃO!F32+BRUNO!F33+GENERAL!F33+'GETÚLIO E JOÃO'!F33</f>
        <v>240</v>
      </c>
      <c r="H33" s="13">
        <v>70</v>
      </c>
      <c r="I33" s="13">
        <f t="shared" si="5"/>
        <v>56</v>
      </c>
      <c r="J33" s="13">
        <f t="shared" si="0"/>
        <v>14</v>
      </c>
      <c r="K33" s="13">
        <f t="shared" si="3"/>
        <v>13440</v>
      </c>
      <c r="L33" s="13">
        <f t="shared" si="4"/>
        <v>3360</v>
      </c>
      <c r="M33" s="52">
        <f>TRUNC(K33+L33,2)</f>
        <v>16800</v>
      </c>
      <c r="N33" s="78"/>
      <c r="O33" s="80"/>
    </row>
    <row r="34" spans="1:17" ht="13.5" customHeight="1" x14ac:dyDescent="0.25">
      <c r="A34" s="12" t="s">
        <v>56</v>
      </c>
      <c r="B34" s="66" t="s">
        <v>36</v>
      </c>
      <c r="C34" s="64"/>
      <c r="D34" s="64"/>
      <c r="E34" s="12" t="s">
        <v>65</v>
      </c>
      <c r="F34" s="12"/>
      <c r="G34" s="13">
        <f>FRANCISCO!F29+MARECHAL!F30+ABRAÃO!F33+JOÃO!F33+BRUNO!F34+GENERAL!F34+'GETÚLIO E JOÃO'!F34+'ORÇAMENTO GLOBAL'!F28</f>
        <v>55</v>
      </c>
      <c r="H34" s="13">
        <v>690.04</v>
      </c>
      <c r="I34" s="13">
        <f t="shared" si="5"/>
        <v>552.03200000000004</v>
      </c>
      <c r="J34" s="13">
        <f t="shared" si="0"/>
        <v>138.00799999999992</v>
      </c>
      <c r="K34" s="13">
        <f t="shared" si="3"/>
        <v>30361.759999999998</v>
      </c>
      <c r="L34" s="13">
        <f t="shared" si="4"/>
        <v>7590.44</v>
      </c>
      <c r="M34" s="52">
        <f>TRUNC(K34+L34,2)-0.05</f>
        <v>37952.149999999994</v>
      </c>
      <c r="N34" s="78"/>
      <c r="O34" s="80"/>
      <c r="P34" s="78"/>
    </row>
    <row r="35" spans="1:17" ht="13.5" customHeight="1" x14ac:dyDescent="0.25">
      <c r="A35" s="12" t="s">
        <v>57</v>
      </c>
      <c r="B35" s="66" t="s">
        <v>74</v>
      </c>
      <c r="C35" s="17"/>
      <c r="D35" s="17"/>
      <c r="E35" s="12" t="s">
        <v>65</v>
      </c>
      <c r="F35" s="12"/>
      <c r="G35" s="13">
        <f>MARECHAL!F31+ABRAÃO!F34+JOÃO!F34+BRUNO!F35+GENERAL!F35+'GETÚLIO E JOÃO'!F35</f>
        <v>8</v>
      </c>
      <c r="H35" s="13">
        <f>H34*1.2</f>
        <v>828.04799999999989</v>
      </c>
      <c r="I35" s="13">
        <f t="shared" si="5"/>
        <v>662.4384</v>
      </c>
      <c r="J35" s="13">
        <f t="shared" si="0"/>
        <v>165.60959999999989</v>
      </c>
      <c r="K35" s="13">
        <f t="shared" si="3"/>
        <v>5299.5</v>
      </c>
      <c r="L35" s="13">
        <f t="shared" si="4"/>
        <v>1324.87</v>
      </c>
      <c r="M35" s="52">
        <f>TRUNC(K35+L35,2)-0.05</f>
        <v>6624.32</v>
      </c>
      <c r="N35" s="78"/>
      <c r="O35" s="80"/>
    </row>
    <row r="36" spans="1:17" ht="13.5" customHeight="1" x14ac:dyDescent="0.25">
      <c r="A36" s="12"/>
      <c r="B36" s="95" t="s">
        <v>67</v>
      </c>
      <c r="C36" s="96"/>
      <c r="D36" s="96"/>
      <c r="E36" s="12"/>
      <c r="F36" s="12"/>
      <c r="G36" s="13"/>
      <c r="H36" s="13"/>
      <c r="I36" s="13"/>
      <c r="J36" s="13"/>
      <c r="K36" s="84">
        <f>SUM(K28:K35)</f>
        <v>140436.72</v>
      </c>
      <c r="L36" s="84">
        <f>SUM(L28:L35)</f>
        <v>41768.130000000005</v>
      </c>
      <c r="M36" s="84">
        <f>SUM(M28:M35)</f>
        <v>182204.65</v>
      </c>
      <c r="N36" s="78"/>
      <c r="O36" s="80"/>
    </row>
    <row r="37" spans="1:17" ht="13.5" customHeight="1" x14ac:dyDescent="0.25">
      <c r="A37" s="12"/>
      <c r="B37" s="66"/>
      <c r="C37" s="17"/>
      <c r="D37" s="17"/>
      <c r="E37" s="12"/>
      <c r="F37" s="12"/>
      <c r="G37" s="13"/>
      <c r="H37" s="13"/>
      <c r="I37" s="13"/>
      <c r="J37" s="13"/>
      <c r="K37" s="13"/>
      <c r="L37" s="13"/>
      <c r="M37" s="52"/>
      <c r="N37" s="78"/>
      <c r="O37" s="80"/>
    </row>
    <row r="38" spans="1:17" ht="13.5" customHeight="1" x14ac:dyDescent="0.25">
      <c r="A38" s="9" t="s">
        <v>58</v>
      </c>
      <c r="B38" s="10" t="s">
        <v>39</v>
      </c>
      <c r="C38" s="17"/>
      <c r="D38" s="17"/>
      <c r="E38" s="12"/>
      <c r="F38" s="12"/>
      <c r="G38" s="13"/>
      <c r="H38" s="13"/>
      <c r="I38" s="13"/>
      <c r="J38" s="13"/>
      <c r="K38" s="13"/>
      <c r="L38" s="13"/>
      <c r="M38" s="52"/>
      <c r="N38" s="78"/>
      <c r="O38" s="80"/>
    </row>
    <row r="39" spans="1:17" ht="13.5" customHeight="1" x14ac:dyDescent="0.25">
      <c r="A39" s="12" t="s">
        <v>59</v>
      </c>
      <c r="B39" s="66" t="s">
        <v>40</v>
      </c>
      <c r="C39" s="17"/>
      <c r="D39" s="17"/>
      <c r="E39" s="12" t="s">
        <v>0</v>
      </c>
      <c r="F39" s="12"/>
      <c r="G39" s="13">
        <f>FRANCISCO!F33+MARECHAL!F35+ABRAÃO!F38+JOÃO!F38+BRUNO!F39+GENERAL!F39+'GETÚLIO E JOÃO'!F39+'ORÇAMENTO GLOBAL'!F32</f>
        <v>432.6</v>
      </c>
      <c r="H39" s="13">
        <v>17.48</v>
      </c>
      <c r="I39" s="13">
        <f t="shared" ref="I39:I44" si="6">H39*0.8</f>
        <v>13.984000000000002</v>
      </c>
      <c r="J39" s="13">
        <f t="shared" si="0"/>
        <v>3.4959999999999987</v>
      </c>
      <c r="K39" s="13">
        <f t="shared" ref="K39:K44" si="7">TRUNC(G39*I39,2)</f>
        <v>6049.47</v>
      </c>
      <c r="L39" s="13">
        <f t="shared" ref="L39:L44" si="8">TRUNC(G39*J39,2)</f>
        <v>1512.36</v>
      </c>
      <c r="M39" s="52">
        <f>TRUNC(K39+L39,2)-0.03</f>
        <v>7561.8</v>
      </c>
      <c r="N39" s="78"/>
      <c r="O39" s="80"/>
    </row>
    <row r="40" spans="1:17" ht="13.5" customHeight="1" x14ac:dyDescent="0.25">
      <c r="A40" s="12" t="s">
        <v>60</v>
      </c>
      <c r="B40" s="66" t="s">
        <v>41</v>
      </c>
      <c r="C40" s="17"/>
      <c r="D40" s="17"/>
      <c r="E40" s="12" t="s">
        <v>0</v>
      </c>
      <c r="F40" s="12"/>
      <c r="G40" s="13">
        <f>MARECHAL!F36+ABRAÃO!F39+JOÃO!F39+BRUNO!F40+GENERAL!F40+'GETÚLIO E JOÃO'!F40+FRANCISCO!F34+'ORÇAMENTO GLOBAL'!F33</f>
        <v>336.6</v>
      </c>
      <c r="H40" s="13">
        <v>17.48</v>
      </c>
      <c r="I40" s="13">
        <f t="shared" si="6"/>
        <v>13.984000000000002</v>
      </c>
      <c r="J40" s="13">
        <f t="shared" si="0"/>
        <v>3.4959999999999987</v>
      </c>
      <c r="K40" s="13">
        <f t="shared" si="7"/>
        <v>4707.01</v>
      </c>
      <c r="L40" s="13">
        <f t="shared" si="8"/>
        <v>1176.75</v>
      </c>
      <c r="M40" s="52">
        <f>TRUNC(K40+L40,2)-0.03</f>
        <v>5883.7300000000005</v>
      </c>
      <c r="N40" s="78"/>
      <c r="O40" s="80"/>
    </row>
    <row r="41" spans="1:17" ht="13.5" customHeight="1" x14ac:dyDescent="0.25">
      <c r="A41" s="12" t="s">
        <v>61</v>
      </c>
      <c r="B41" s="66" t="s">
        <v>42</v>
      </c>
      <c r="C41" s="17"/>
      <c r="D41" s="17"/>
      <c r="E41" s="12" t="s">
        <v>0</v>
      </c>
      <c r="F41" s="12"/>
      <c r="G41" s="13">
        <f>FRANCISCO!F35+MARECHAL!F37+ABRAÃO!F40+JOÃO!F40+BRUNO!F41+GENERAL!F41+'GETÚLIO E JOÃO'!F41+'ORÇAMENTO GLOBAL'!F34</f>
        <v>425</v>
      </c>
      <c r="H41" s="13">
        <v>17.48</v>
      </c>
      <c r="I41" s="13">
        <f t="shared" si="6"/>
        <v>13.984000000000002</v>
      </c>
      <c r="J41" s="13">
        <f t="shared" si="0"/>
        <v>3.4959999999999987</v>
      </c>
      <c r="K41" s="13">
        <f t="shared" si="7"/>
        <v>5943.2</v>
      </c>
      <c r="L41" s="13">
        <f t="shared" si="8"/>
        <v>1485.8</v>
      </c>
      <c r="M41" s="52">
        <f>TRUNC(K41+L41,2)-0.03</f>
        <v>7428.97</v>
      </c>
      <c r="N41" s="78"/>
      <c r="O41" s="80"/>
    </row>
    <row r="42" spans="1:17" ht="13.5" customHeight="1" x14ac:dyDescent="0.25">
      <c r="A42" s="12" t="s">
        <v>62</v>
      </c>
      <c r="B42" s="66" t="s">
        <v>43</v>
      </c>
      <c r="C42" s="17"/>
      <c r="D42" s="17"/>
      <c r="E42" s="12" t="s">
        <v>65</v>
      </c>
      <c r="F42" s="12"/>
      <c r="G42" s="13">
        <f>FRANCISCO!F36+MARECHAL!F38+ABRAÃO!F41+JOÃO!F41+BRUNO!F42+GENERAL!F42+'GETÚLIO E JOÃO'!F42+'ORÇAMENTO GLOBAL'!F35</f>
        <v>19</v>
      </c>
      <c r="H42" s="13">
        <v>193.5</v>
      </c>
      <c r="I42" s="13">
        <f t="shared" si="6"/>
        <v>154.80000000000001</v>
      </c>
      <c r="J42" s="13">
        <f t="shared" si="0"/>
        <v>38.699999999999989</v>
      </c>
      <c r="K42" s="13">
        <f t="shared" si="7"/>
        <v>2941.2</v>
      </c>
      <c r="L42" s="13">
        <f t="shared" si="8"/>
        <v>735.3</v>
      </c>
      <c r="M42" s="52">
        <f>TRUNC(K42+L42,2)-0.03</f>
        <v>3676.47</v>
      </c>
      <c r="N42" s="78"/>
      <c r="O42" s="80"/>
    </row>
    <row r="43" spans="1:17" ht="13.5" customHeight="1" x14ac:dyDescent="0.25">
      <c r="A43" s="12" t="s">
        <v>63</v>
      </c>
      <c r="B43" s="66" t="s">
        <v>70</v>
      </c>
      <c r="C43" s="17"/>
      <c r="D43" s="17"/>
      <c r="E43" s="12" t="s">
        <v>65</v>
      </c>
      <c r="F43" s="12"/>
      <c r="G43" s="13">
        <f>FRANCISCO!F37+MARECHAL!F39+ABRAÃO!F42+JOÃO!F42+BRUNO!F43+GENERAL!F43+'GETÚLIO E JOÃO'!F43+'ORÇAMENTO GLOBAL'!F36</f>
        <v>7</v>
      </c>
      <c r="H43" s="13">
        <v>193.5</v>
      </c>
      <c r="I43" s="13">
        <f t="shared" si="6"/>
        <v>154.80000000000001</v>
      </c>
      <c r="J43" s="13">
        <f t="shared" si="0"/>
        <v>38.699999999999989</v>
      </c>
      <c r="K43" s="13">
        <f t="shared" si="7"/>
        <v>1083.5999999999999</v>
      </c>
      <c r="L43" s="13">
        <f t="shared" si="8"/>
        <v>270.89999999999998</v>
      </c>
      <c r="M43" s="52">
        <f>TRUNC(K43+L43,2)</f>
        <v>1354.5</v>
      </c>
      <c r="N43" s="78"/>
      <c r="O43" s="80"/>
    </row>
    <row r="44" spans="1:17" ht="13.5" customHeight="1" x14ac:dyDescent="0.25">
      <c r="A44" s="12" t="s">
        <v>69</v>
      </c>
      <c r="B44" s="66" t="s">
        <v>44</v>
      </c>
      <c r="C44" s="17"/>
      <c r="D44" s="17"/>
      <c r="E44" s="12" t="s">
        <v>0</v>
      </c>
      <c r="F44" s="12"/>
      <c r="G44" s="13">
        <f>FRANCISCO!F38+MARECHAL!F40+ABRAÃO!F43+JOÃO!F43+BRUNO!F44+GENERAL!F44+'GETÚLIO E JOÃO'!F44</f>
        <v>3</v>
      </c>
      <c r="H44" s="13">
        <v>487.56</v>
      </c>
      <c r="I44" s="13">
        <f t="shared" si="6"/>
        <v>390.048</v>
      </c>
      <c r="J44" s="13">
        <f t="shared" si="0"/>
        <v>97.512</v>
      </c>
      <c r="K44" s="13">
        <f t="shared" si="7"/>
        <v>1170.1400000000001</v>
      </c>
      <c r="L44" s="13">
        <f t="shared" si="8"/>
        <v>292.52999999999997</v>
      </c>
      <c r="M44" s="52">
        <f>TRUNC(K44+L44,2)</f>
        <v>1462.67</v>
      </c>
      <c r="N44" s="78"/>
      <c r="O44" s="80"/>
    </row>
    <row r="45" spans="1:17" ht="13.5" customHeight="1" x14ac:dyDescent="0.25">
      <c r="A45" s="12" t="s">
        <v>85</v>
      </c>
      <c r="B45" s="66" t="s">
        <v>86</v>
      </c>
      <c r="C45" s="17"/>
      <c r="D45" s="17"/>
      <c r="E45" s="12" t="s">
        <v>65</v>
      </c>
      <c r="F45" s="12"/>
      <c r="G45" s="13">
        <f>BRUNO!F45+JOÃO!F44+ABRAÃO!F44+MARECHAL!F41+FRANCISCO!F39+GENERAL!F45+'GETÚLIO E JOÃO'!F45+'ORÇAMENTO GLOBAL'!F38</f>
        <v>48</v>
      </c>
      <c r="H45" s="13">
        <v>186.66</v>
      </c>
      <c r="I45" s="13">
        <f>186.66*0.7</f>
        <v>130.66199999999998</v>
      </c>
      <c r="J45" s="13">
        <f>186.66-I45</f>
        <v>55.998000000000019</v>
      </c>
      <c r="K45" s="13">
        <f>TRUNC(G45*I45,2)</f>
        <v>6271.77</v>
      </c>
      <c r="L45" s="13">
        <f>TRUNC(G45*J45,2)</f>
        <v>2687.9</v>
      </c>
      <c r="M45" s="52">
        <f>TRUNC(K45+L45,2)-0.04</f>
        <v>8959.6299999999992</v>
      </c>
      <c r="N45" s="80"/>
      <c r="O45" s="16"/>
    </row>
    <row r="46" spans="1:17" ht="13.5" customHeight="1" x14ac:dyDescent="0.25">
      <c r="A46" s="12"/>
      <c r="B46" s="95" t="s">
        <v>68</v>
      </c>
      <c r="C46" s="96"/>
      <c r="D46" s="96"/>
      <c r="E46" s="12"/>
      <c r="F46" s="12"/>
      <c r="G46" s="13"/>
      <c r="H46" s="13"/>
      <c r="I46" s="13"/>
      <c r="J46" s="13"/>
      <c r="K46" s="84">
        <f>SUM(K39:K44)</f>
        <v>21894.62</v>
      </c>
      <c r="L46" s="84">
        <f>SUM(L39:L44)</f>
        <v>5473.6399999999994</v>
      </c>
      <c r="M46" s="84">
        <f>SUM(M39:M45)</f>
        <v>36327.769999999997</v>
      </c>
      <c r="N46" s="78"/>
      <c r="O46" s="80"/>
    </row>
    <row r="47" spans="1:17" x14ac:dyDescent="0.25">
      <c r="A47" s="21"/>
      <c r="B47" s="67"/>
      <c r="C47" s="68"/>
      <c r="D47" s="68"/>
      <c r="E47" s="21"/>
      <c r="F47" s="21"/>
      <c r="G47" s="22"/>
      <c r="H47" s="22"/>
      <c r="I47" s="83"/>
      <c r="J47" s="83"/>
      <c r="K47" s="83"/>
      <c r="L47" s="83"/>
      <c r="M47" s="53"/>
      <c r="N47" s="78"/>
      <c r="O47" s="80"/>
      <c r="P47" s="16"/>
      <c r="Q47" s="16"/>
    </row>
    <row r="48" spans="1:17" ht="17.25" customHeight="1" x14ac:dyDescent="0.25">
      <c r="A48" s="97" t="s">
        <v>6</v>
      </c>
      <c r="B48" s="98"/>
      <c r="C48" s="98"/>
      <c r="D48" s="98"/>
      <c r="E48" s="98"/>
      <c r="F48" s="98"/>
      <c r="G48" s="98"/>
      <c r="H48" s="98"/>
      <c r="I48" s="82"/>
      <c r="J48" s="82"/>
      <c r="K48" s="85" t="e">
        <f>K46+K36+K25</f>
        <v>#REF!</v>
      </c>
      <c r="L48" s="85" t="e">
        <f>L46+L36+L25</f>
        <v>#REF!</v>
      </c>
      <c r="M48" s="85" t="e">
        <f>M46+M36+M25</f>
        <v>#REF!</v>
      </c>
      <c r="N48" s="78"/>
      <c r="O48" s="80"/>
      <c r="P48" s="16"/>
      <c r="Q48" s="16"/>
    </row>
    <row r="49" spans="1:18" s="20" customFormat="1" x14ac:dyDescent="0.25">
      <c r="A49" s="23"/>
      <c r="B49" s="23"/>
      <c r="C49" s="23"/>
      <c r="D49" s="24"/>
      <c r="E49" s="23"/>
      <c r="F49" s="23"/>
      <c r="G49" s="23"/>
      <c r="H49" s="23"/>
      <c r="I49" s="23"/>
      <c r="J49" s="23"/>
      <c r="K49" s="23"/>
      <c r="L49" s="23"/>
      <c r="M49" s="25"/>
      <c r="N49" s="25"/>
      <c r="O49" s="25"/>
      <c r="P49" s="19"/>
      <c r="Q49" s="19"/>
    </row>
    <row r="50" spans="1:18" x14ac:dyDescent="0.25">
      <c r="A50" s="26"/>
      <c r="B50" s="27"/>
      <c r="C50" s="27"/>
      <c r="D50" s="27"/>
      <c r="E50" s="27"/>
      <c r="F50" s="27"/>
      <c r="G50" s="28"/>
      <c r="H50" s="27"/>
      <c r="I50" s="27"/>
      <c r="J50" s="27"/>
      <c r="K50" s="27"/>
      <c r="L50" s="27"/>
      <c r="M50" s="28"/>
      <c r="N50" s="28"/>
      <c r="O50" s="28"/>
      <c r="P50" s="16"/>
    </row>
    <row r="51" spans="1:18" s="20" customFormat="1" ht="12.75" customHeight="1" x14ac:dyDescent="0.3">
      <c r="A51" s="26"/>
      <c r="B51" s="23"/>
      <c r="C51" s="29"/>
      <c r="D51" s="24"/>
      <c r="E51" s="27"/>
      <c r="F51" s="27"/>
      <c r="G51" s="28"/>
      <c r="H51" s="26"/>
      <c r="I51" s="26"/>
      <c r="M51" s="25"/>
      <c r="N51" s="28"/>
      <c r="O51" s="25"/>
      <c r="P51" s="19"/>
    </row>
    <row r="52" spans="1:18" ht="12.75" customHeight="1" x14ac:dyDescent="0.3">
      <c r="A52" s="26"/>
      <c r="B52" s="27"/>
      <c r="C52" s="29"/>
      <c r="D52" s="27"/>
      <c r="E52" s="27"/>
      <c r="F52" s="27"/>
      <c r="G52" s="28"/>
      <c r="H52" s="27"/>
      <c r="I52" s="27"/>
      <c r="M52" s="28"/>
      <c r="N52" s="28"/>
      <c r="O52" s="28"/>
      <c r="P52" s="16"/>
    </row>
    <row r="53" spans="1:18" x14ac:dyDescent="0.25">
      <c r="A53" s="26"/>
      <c r="B53" s="27"/>
      <c r="C53" s="27"/>
      <c r="D53" s="27"/>
      <c r="E53" s="27"/>
      <c r="F53" s="27"/>
      <c r="G53" s="28"/>
      <c r="H53" s="27"/>
      <c r="I53" s="27"/>
      <c r="M53" s="28"/>
      <c r="N53" s="28"/>
      <c r="O53" s="30"/>
      <c r="P53" s="31"/>
      <c r="Q53" s="18"/>
      <c r="R53" s="16"/>
    </row>
    <row r="54" spans="1:18" x14ac:dyDescent="0.25">
      <c r="A54" s="26"/>
      <c r="B54" s="27"/>
      <c r="C54" s="27"/>
      <c r="D54" s="27"/>
      <c r="E54" s="27"/>
      <c r="F54" s="27"/>
      <c r="G54" s="28"/>
      <c r="H54" s="24"/>
      <c r="I54" s="24"/>
      <c r="J54" s="24"/>
      <c r="K54" s="24"/>
      <c r="L54" s="24"/>
      <c r="M54" s="28"/>
      <c r="N54" s="28"/>
      <c r="O54" s="30"/>
      <c r="Q54" s="18"/>
      <c r="R54" s="16"/>
    </row>
    <row r="55" spans="1:18" x14ac:dyDescent="0.25">
      <c r="A55" s="26"/>
      <c r="B55" s="27"/>
      <c r="C55" s="27" t="s">
        <v>89</v>
      </c>
      <c r="D55" s="27"/>
      <c r="E55" s="27"/>
      <c r="F55" s="27"/>
      <c r="G55" s="28"/>
      <c r="H55" s="23"/>
      <c r="I55" s="23"/>
      <c r="J55" s="23"/>
      <c r="K55" s="26"/>
      <c r="L55" s="26" t="s">
        <v>88</v>
      </c>
      <c r="M55" s="26"/>
      <c r="N55" s="28"/>
      <c r="O55" s="30"/>
      <c r="Q55" s="18"/>
      <c r="R55" s="16"/>
    </row>
    <row r="56" spans="1:18" x14ac:dyDescent="0.25">
      <c r="A56" s="27"/>
      <c r="B56" s="27"/>
      <c r="C56" s="27" t="s">
        <v>90</v>
      </c>
      <c r="D56" s="27"/>
      <c r="E56" s="27"/>
      <c r="F56" s="27"/>
      <c r="G56" s="27"/>
      <c r="H56" s="26"/>
      <c r="I56" s="26"/>
      <c r="J56" s="26"/>
      <c r="K56" s="27"/>
      <c r="L56" s="27" t="s">
        <v>91</v>
      </c>
      <c r="M56" s="27"/>
      <c r="N56" s="28"/>
      <c r="O56" s="28"/>
      <c r="Q56" s="16"/>
    </row>
    <row r="57" spans="1:18" x14ac:dyDescent="0.25">
      <c r="A57" s="27"/>
      <c r="B57" s="27"/>
      <c r="C57" s="27"/>
      <c r="D57" s="27"/>
      <c r="E57" s="28"/>
      <c r="F57" s="28"/>
      <c r="G57" s="26"/>
      <c r="H57" s="26"/>
      <c r="I57" s="26"/>
      <c r="J57" s="26"/>
      <c r="K57" s="27"/>
      <c r="L57" s="27"/>
      <c r="M57" s="27"/>
      <c r="N57" s="28"/>
      <c r="O57" s="28"/>
      <c r="Q57" s="16"/>
    </row>
    <row r="58" spans="1:18" x14ac:dyDescent="0.25">
      <c r="A58" s="27"/>
      <c r="B58" s="27"/>
      <c r="C58" s="27"/>
      <c r="D58" s="27"/>
      <c r="E58" s="28"/>
      <c r="F58" s="28"/>
      <c r="G58" s="26"/>
      <c r="H58" s="26"/>
      <c r="I58" s="26"/>
      <c r="J58" s="26"/>
      <c r="K58" s="26"/>
      <c r="L58" s="26"/>
      <c r="M58" s="28"/>
      <c r="N58" s="28"/>
      <c r="O58" s="28"/>
      <c r="Q58" s="16"/>
    </row>
    <row r="59" spans="1:18" x14ac:dyDescent="0.25">
      <c r="A59" s="27"/>
      <c r="B59" s="27"/>
      <c r="C59" s="27"/>
      <c r="D59" s="27"/>
      <c r="E59" s="28"/>
      <c r="F59" s="28"/>
      <c r="G59" s="26"/>
      <c r="H59" s="24"/>
      <c r="I59" s="24"/>
      <c r="J59" s="24"/>
      <c r="K59" s="24"/>
      <c r="L59" s="24"/>
      <c r="M59" s="28"/>
      <c r="N59" s="28"/>
      <c r="O59" s="28"/>
    </row>
    <row r="60" spans="1:18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Q60" s="16"/>
    </row>
    <row r="61" spans="1:18" x14ac:dyDescent="0.25">
      <c r="A61" s="27"/>
      <c r="B61" s="27"/>
      <c r="C61" s="27"/>
      <c r="D61" s="27"/>
      <c r="E61" s="27"/>
      <c r="F61" s="27"/>
      <c r="G61" s="24"/>
      <c r="H61" s="24"/>
      <c r="I61" s="24"/>
      <c r="J61" s="24"/>
      <c r="K61" s="24"/>
      <c r="L61" s="24"/>
      <c r="M61" s="27"/>
      <c r="N61" s="27"/>
      <c r="O61" s="27"/>
    </row>
    <row r="62" spans="1:18" x14ac:dyDescent="0.25">
      <c r="A62" s="27"/>
      <c r="B62" s="27"/>
      <c r="C62" s="27"/>
      <c r="D62" s="27"/>
      <c r="E62" s="27"/>
      <c r="F62" s="27"/>
      <c r="G62" s="27"/>
      <c r="H62" s="26"/>
      <c r="I62" s="26"/>
      <c r="J62" s="26"/>
      <c r="K62" s="26"/>
      <c r="L62" s="26"/>
      <c r="M62" s="26"/>
      <c r="N62" s="27"/>
      <c r="O62" s="27"/>
    </row>
    <row r="63" spans="1:18" x14ac:dyDescent="0.25">
      <c r="A63" s="27"/>
      <c r="B63" s="27"/>
      <c r="C63" s="27"/>
      <c r="D63" s="27"/>
      <c r="E63" s="27"/>
      <c r="F63" s="27"/>
      <c r="G63" s="27"/>
      <c r="H63" s="26"/>
      <c r="I63" s="26"/>
      <c r="J63" s="26"/>
      <c r="K63" s="26"/>
      <c r="L63" s="26"/>
      <c r="M63" s="27"/>
      <c r="N63" s="27"/>
      <c r="O63" s="27"/>
    </row>
    <row r="64" spans="1:18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</row>
    <row r="65" spans="1:15" x14ac:dyDescent="0.25">
      <c r="A65" s="27"/>
      <c r="B65" s="27"/>
      <c r="C65" s="27"/>
      <c r="D65" s="27"/>
      <c r="E65" s="27"/>
      <c r="F65" s="27"/>
      <c r="G65" s="27"/>
      <c r="H65" s="26"/>
      <c r="I65" s="26"/>
      <c r="J65" s="26"/>
      <c r="K65" s="26"/>
      <c r="L65" s="26"/>
      <c r="M65" s="27"/>
      <c r="N65" s="27"/>
      <c r="O65" s="27"/>
    </row>
    <row r="66" spans="1:15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</row>
    <row r="67" spans="1:15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</row>
    <row r="68" spans="1:15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</row>
    <row r="69" spans="1:15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</row>
    <row r="70" spans="1:15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</row>
    <row r="71" spans="1:15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</row>
    <row r="72" spans="1:15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</row>
    <row r="73" spans="1:15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</row>
    <row r="74" spans="1:15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</row>
    <row r="75" spans="1:15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</row>
    <row r="76" spans="1:15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</row>
    <row r="77" spans="1:15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</row>
    <row r="78" spans="1:15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</row>
    <row r="79" spans="1:15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</row>
    <row r="80" spans="1:15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</row>
    <row r="81" spans="1:15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</row>
    <row r="82" spans="1:15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</row>
    <row r="83" spans="1:15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</row>
    <row r="84" spans="1:15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</row>
    <row r="85" spans="1:15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  <row r="86" spans="1:15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  <row r="87" spans="1:15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  <row r="88" spans="1:15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</row>
    <row r="89" spans="1:15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</row>
    <row r="90" spans="1:15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</row>
    <row r="91" spans="1:15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</row>
    <row r="92" spans="1:15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</row>
    <row r="93" spans="1:15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</row>
    <row r="94" spans="1:15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</row>
    <row r="95" spans="1:15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1:15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</row>
    <row r="97" spans="1:15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1:15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</row>
    <row r="99" spans="1:15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1:15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</row>
    <row r="101" spans="1:15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1:15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</row>
    <row r="103" spans="1:15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1:15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</row>
    <row r="105" spans="1:15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1:15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</row>
    <row r="107" spans="1:15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1:15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</row>
    <row r="109" spans="1:15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1:15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</row>
    <row r="111" spans="1:15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5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1:15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1:15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</row>
    <row r="115" spans="1:15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1:15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</row>
    <row r="117" spans="1:15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1:15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</row>
    <row r="119" spans="1:15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1:15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</row>
    <row r="121" spans="1:15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1:15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</row>
    <row r="123" spans="1:15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1:15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1:15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1:15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</row>
    <row r="127" spans="1:15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1:15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</row>
    <row r="129" spans="1:15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1:15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1:15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1:15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</row>
    <row r="133" spans="1:15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5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</row>
    <row r="135" spans="1:15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</sheetData>
  <mergeCells count="19">
    <mergeCell ref="B25:D25"/>
    <mergeCell ref="A5:M5"/>
    <mergeCell ref="A14:A15"/>
    <mergeCell ref="B14:D15"/>
    <mergeCell ref="E14:E15"/>
    <mergeCell ref="G14:G15"/>
    <mergeCell ref="I14:J14"/>
    <mergeCell ref="K14:L14"/>
    <mergeCell ref="B16:D16"/>
    <mergeCell ref="B19:D19"/>
    <mergeCell ref="B20:D20"/>
    <mergeCell ref="B22:D22"/>
    <mergeCell ref="B24:D24"/>
    <mergeCell ref="A48:H48"/>
    <mergeCell ref="B27:D27"/>
    <mergeCell ref="B28:D28"/>
    <mergeCell ref="B30:D30"/>
    <mergeCell ref="B36:D36"/>
    <mergeCell ref="B46:D46"/>
  </mergeCells>
  <pageMargins left="0.39370078740157483" right="0.39370078740157483" top="0.98425196850393704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7</vt:i4>
      </vt:variant>
    </vt:vector>
  </HeadingPairs>
  <TitlesOfParts>
    <vt:vector size="17" baseType="lpstr">
      <vt:lpstr>FRANCISCO</vt:lpstr>
      <vt:lpstr>MARECHAL</vt:lpstr>
      <vt:lpstr>ABRAÃO</vt:lpstr>
      <vt:lpstr>JOÃO</vt:lpstr>
      <vt:lpstr>BRUNO</vt:lpstr>
      <vt:lpstr>GENERAL</vt:lpstr>
      <vt:lpstr>GETÚLIO E JOÃO</vt:lpstr>
      <vt:lpstr>ORÇAMENTO GLOBAL</vt:lpstr>
      <vt:lpstr>ORC GLOBAL</vt:lpstr>
      <vt:lpstr>CRO JOAO</vt:lpstr>
      <vt:lpstr>ABRAÃO!Titulos_de_impressao</vt:lpstr>
      <vt:lpstr>BRUNO!Titulos_de_impressao</vt:lpstr>
      <vt:lpstr>'CRO JOAO'!Titulos_de_impressao</vt:lpstr>
      <vt:lpstr>FRANCISCO!Titulos_de_impressao</vt:lpstr>
      <vt:lpstr>JOÃO!Titulos_de_impressao</vt:lpstr>
      <vt:lpstr>MARECHAL!Titulos_de_impressao</vt:lpstr>
      <vt:lpstr>'ORC GLOBAL'!Titulos_de_impressao</vt:lpstr>
    </vt:vector>
  </TitlesOfParts>
  <Company>polleguns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bittencourt sntos filho</dc:creator>
  <cp:lastModifiedBy>Usuairo</cp:lastModifiedBy>
  <cp:lastPrinted>2019-07-12T11:36:48Z</cp:lastPrinted>
  <dcterms:created xsi:type="dcterms:W3CDTF">2009-02-09T23:44:52Z</dcterms:created>
  <dcterms:modified xsi:type="dcterms:W3CDTF">2019-07-12T12:42:21Z</dcterms:modified>
</cp:coreProperties>
</file>