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416" windowHeight="7752" tabRatio="802"/>
  </bookViews>
  <sheets>
    <sheet name="1. Coleta Dom" sheetId="2" r:id="rId1"/>
    <sheet name="2. Coleta Seletiva" sheetId="32" r:id="rId2"/>
    <sheet name="3. Resumo" sheetId="19" r:id="rId3"/>
    <sheet name="4.Enc Sociais" sheetId="8" r:id="rId4"/>
    <sheet name="5.CAGED" sheetId="5" r:id="rId5"/>
    <sheet name="6.BDI" sheetId="4" r:id="rId6"/>
    <sheet name="7. Ton" sheetId="29" r:id="rId7"/>
    <sheet name="8. Horários" sheetId="11" r:id="rId8"/>
    <sheet name="9. Roteiros" sheetId="28" r:id="rId9"/>
    <sheet name="10. Depr" sheetId="6" r:id="rId10"/>
    <sheet name="11. Rem capital" sheetId="7" r:id="rId11"/>
    <sheet name="Tab ANP" sheetId="31" r:id="rId12"/>
  </sheets>
  <definedNames>
    <definedName name="AbaDeprec">'10. Depr'!$A$1</definedName>
    <definedName name="AbaRemun" localSheetId="2">#REF!</definedName>
    <definedName name="AbaRemun" localSheetId="7">#REF!</definedName>
    <definedName name="AbaRemun">'11. Rem capital'!$A$1</definedName>
    <definedName name="_xlnm.Print_Area" localSheetId="0">'1. Coleta Dom'!$A$1:$F$323</definedName>
    <definedName name="_xlnm.Print_Area" localSheetId="1">'2. Coleta Seletiva'!$A$1:$F$323</definedName>
    <definedName name="_xlnm.Print_Area" localSheetId="3">'4.Enc Sociais'!$A$1:$C$40</definedName>
    <definedName name="_xlnm.Print_Titles" localSheetId="0">'1. Coleta Dom'!$1:$8</definedName>
    <definedName name="_xlnm.Print_Titles" localSheetId="1">'2. Coleta Seletiva'!$1:$8</definedName>
  </definedNames>
  <calcPr calcId="124519"/>
</workbook>
</file>

<file path=xl/calcChain.xml><?xml version="1.0" encoding="utf-8"?>
<calcChain xmlns="http://schemas.openxmlformats.org/spreadsheetml/2006/main">
  <c r="D132" i="2"/>
  <c r="D131"/>
  <c r="F8" i="19"/>
  <c r="D5" i="29"/>
  <c r="D7"/>
  <c r="B238" i="32" l="1"/>
  <c r="C267" s="1"/>
  <c r="E267" s="1"/>
  <c r="F268" s="1"/>
  <c r="E34" s="1"/>
  <c r="E125" i="2"/>
  <c r="E125" i="32"/>
  <c r="B54"/>
  <c r="H14" i="11"/>
  <c r="H13"/>
  <c r="H12"/>
  <c r="H10"/>
  <c r="H11"/>
  <c r="R35" i="28"/>
  <c r="H9" i="11"/>
  <c r="C308" i="32"/>
  <c r="C297"/>
  <c r="E297" s="1"/>
  <c r="D298" s="1"/>
  <c r="E298" s="1"/>
  <c r="D296"/>
  <c r="E296" s="1"/>
  <c r="E295"/>
  <c r="E289"/>
  <c r="E288"/>
  <c r="E287"/>
  <c r="E286"/>
  <c r="F290" s="1"/>
  <c r="E36" s="1"/>
  <c r="E278"/>
  <c r="E277"/>
  <c r="F279" s="1"/>
  <c r="F281" s="1"/>
  <c r="E35" s="1"/>
  <c r="E276"/>
  <c r="C265"/>
  <c r="E265" s="1"/>
  <c r="D266" s="1"/>
  <c r="E266" s="1"/>
  <c r="D267" s="1"/>
  <c r="E263"/>
  <c r="D252"/>
  <c r="D250"/>
  <c r="D248"/>
  <c r="D246"/>
  <c r="D244"/>
  <c r="D242"/>
  <c r="D232"/>
  <c r="C232"/>
  <c r="E232" s="1"/>
  <c r="E231"/>
  <c r="C231"/>
  <c r="C230"/>
  <c r="C225"/>
  <c r="C219"/>
  <c r="D218"/>
  <c r="E213"/>
  <c r="D213"/>
  <c r="C205"/>
  <c r="C204"/>
  <c r="D206" s="1"/>
  <c r="C201"/>
  <c r="C218" s="1"/>
  <c r="E218" s="1"/>
  <c r="C200"/>
  <c r="C199"/>
  <c r="E196"/>
  <c r="C215" s="1"/>
  <c r="E184"/>
  <c r="C184"/>
  <c r="D183"/>
  <c r="C183"/>
  <c r="E183" s="1"/>
  <c r="D182"/>
  <c r="E182" s="1"/>
  <c r="C182"/>
  <c r="D181"/>
  <c r="C181"/>
  <c r="E181" s="1"/>
  <c r="D180"/>
  <c r="E180" s="1"/>
  <c r="C180"/>
  <c r="D179"/>
  <c r="C179"/>
  <c r="E179" s="1"/>
  <c r="D178"/>
  <c r="E178" s="1"/>
  <c r="D185" s="1"/>
  <c r="C178"/>
  <c r="C172"/>
  <c r="E172" s="1"/>
  <c r="E171"/>
  <c r="E170"/>
  <c r="E169"/>
  <c r="E168"/>
  <c r="E167"/>
  <c r="E166"/>
  <c r="E165"/>
  <c r="E164"/>
  <c r="E163"/>
  <c r="E162"/>
  <c r="E161"/>
  <c r="D172" s="1"/>
  <c r="C150"/>
  <c r="E150" s="1"/>
  <c r="D145"/>
  <c r="A145"/>
  <c r="C144"/>
  <c r="E144" s="1"/>
  <c r="D139"/>
  <c r="E139" s="1"/>
  <c r="D138"/>
  <c r="D137"/>
  <c r="C137"/>
  <c r="E137" s="1"/>
  <c r="A137"/>
  <c r="A144" s="1"/>
  <c r="D132"/>
  <c r="C132"/>
  <c r="C131"/>
  <c r="D120"/>
  <c r="C120"/>
  <c r="E120" s="1"/>
  <c r="D117"/>
  <c r="C117"/>
  <c r="E117" s="1"/>
  <c r="E115"/>
  <c r="D115"/>
  <c r="D114"/>
  <c r="C114"/>
  <c r="E114" s="1"/>
  <c r="D112"/>
  <c r="E112" s="1"/>
  <c r="D111"/>
  <c r="E111" s="1"/>
  <c r="C111"/>
  <c r="D109"/>
  <c r="E108"/>
  <c r="D95"/>
  <c r="E95" s="1"/>
  <c r="D94"/>
  <c r="E94" s="1"/>
  <c r="E92"/>
  <c r="C83"/>
  <c r="C81"/>
  <c r="C78"/>
  <c r="C75"/>
  <c r="D73"/>
  <c r="D79" s="1"/>
  <c r="E79" s="1"/>
  <c r="E62"/>
  <c r="D62"/>
  <c r="E61"/>
  <c r="D63" s="1"/>
  <c r="E63" s="1"/>
  <c r="D61"/>
  <c r="E60"/>
  <c r="D131" s="1"/>
  <c r="E51"/>
  <c r="A51"/>
  <c r="E48"/>
  <c r="E47"/>
  <c r="A47"/>
  <c r="E46"/>
  <c r="C185" s="1"/>
  <c r="E185" s="1"/>
  <c r="A46"/>
  <c r="E45"/>
  <c r="A45"/>
  <c r="E44"/>
  <c r="A44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E289" i="2"/>
  <c r="B238"/>
  <c r="D232"/>
  <c r="C184"/>
  <c r="E184" s="1"/>
  <c r="E171"/>
  <c r="D253" i="32" l="1"/>
  <c r="E132"/>
  <c r="D96"/>
  <c r="E96" s="1"/>
  <c r="D98"/>
  <c r="E98" s="1"/>
  <c r="E99" s="1"/>
  <c r="E121"/>
  <c r="D118"/>
  <c r="E118" s="1"/>
  <c r="D230"/>
  <c r="E230" s="1"/>
  <c r="D233" s="1"/>
  <c r="E233" s="1"/>
  <c r="E131"/>
  <c r="D64"/>
  <c r="E64" s="1"/>
  <c r="E65" s="1"/>
  <c r="E73"/>
  <c r="D75"/>
  <c r="E75" s="1"/>
  <c r="D76"/>
  <c r="E76" s="1"/>
  <c r="D81"/>
  <c r="E81" s="1"/>
  <c r="C138"/>
  <c r="E138" s="1"/>
  <c r="F140" s="1"/>
  <c r="E23" s="1"/>
  <c r="C145"/>
  <c r="E145" s="1"/>
  <c r="D199"/>
  <c r="E199" s="1"/>
  <c r="E201"/>
  <c r="C242"/>
  <c r="D78"/>
  <c r="E78" s="1"/>
  <c r="H5" i="11"/>
  <c r="H6"/>
  <c r="F133" i="32" l="1"/>
  <c r="E22" s="1"/>
  <c r="D66"/>
  <c r="D200"/>
  <c r="E200" s="1"/>
  <c r="C216"/>
  <c r="D217" s="1"/>
  <c r="E217" s="1"/>
  <c r="D100"/>
  <c r="C220"/>
  <c r="D204"/>
  <c r="E204" s="1"/>
  <c r="D205" s="1"/>
  <c r="E205" s="1"/>
  <c r="D122"/>
  <c r="C252"/>
  <c r="E252" s="1"/>
  <c r="C248"/>
  <c r="E248" s="1"/>
  <c r="C244"/>
  <c r="C258"/>
  <c r="E258" s="1"/>
  <c r="F259" s="1"/>
  <c r="E33" s="1"/>
  <c r="C246"/>
  <c r="E246" s="1"/>
  <c r="E242"/>
  <c r="D82"/>
  <c r="E82" s="1"/>
  <c r="D83" s="1"/>
  <c r="E83" s="1"/>
  <c r="E84" s="1"/>
  <c r="R41" i="28"/>
  <c r="E72"/>
  <c r="E62"/>
  <c r="K52"/>
  <c r="R33" s="1"/>
  <c r="E52"/>
  <c r="K34" s="1"/>
  <c r="K36" s="1"/>
  <c r="R29" s="1"/>
  <c r="K50"/>
  <c r="K42"/>
  <c r="K44" s="1"/>
  <c r="R31" s="1"/>
  <c r="E39"/>
  <c r="K25" s="1"/>
  <c r="K28" s="1"/>
  <c r="R20" s="1"/>
  <c r="E30"/>
  <c r="K16" s="1"/>
  <c r="K19" s="1"/>
  <c r="R18" s="1"/>
  <c r="E16"/>
  <c r="K10"/>
  <c r="R7" s="1"/>
  <c r="R9" s="1"/>
  <c r="R10" s="1"/>
  <c r="K7"/>
  <c r="C221" i="32" l="1"/>
  <c r="D222" s="1"/>
  <c r="E222" s="1"/>
  <c r="E223" s="1"/>
  <c r="E224" s="1"/>
  <c r="D225" s="1"/>
  <c r="E225" s="1"/>
  <c r="D85"/>
  <c r="E244"/>
  <c r="C250"/>
  <c r="E250" s="1"/>
  <c r="F254" s="1"/>
  <c r="E32" s="1"/>
  <c r="E206"/>
  <c r="E207" s="1"/>
  <c r="D208" s="1"/>
  <c r="E208" s="1"/>
  <c r="R16" i="28"/>
  <c r="R22" s="1"/>
  <c r="R23" s="1"/>
  <c r="D139" i="2"/>
  <c r="D137"/>
  <c r="V9" i="11"/>
  <c r="V5"/>
  <c r="X15" l="1"/>
  <c r="X6"/>
  <c r="C297" i="2"/>
  <c r="D145" l="1"/>
  <c r="D138"/>
  <c r="F15" i="19"/>
  <c r="A36" i="2"/>
  <c r="E288"/>
  <c r="E287"/>
  <c r="E286"/>
  <c r="M8" i="11"/>
  <c r="C132" i="2"/>
  <c r="C150"/>
  <c r="U8" i="11"/>
  <c r="U5"/>
  <c r="U3"/>
  <c r="U6" l="1"/>
  <c r="U9" s="1"/>
  <c r="F290" i="2"/>
  <c r="E36" s="1"/>
  <c r="U11" i="11" l="1"/>
  <c r="U15" s="1"/>
  <c r="P5" l="1"/>
  <c r="P8"/>
  <c r="P3"/>
  <c r="P6" l="1"/>
  <c r="P9" s="1"/>
  <c r="P11" s="1"/>
  <c r="P15" s="1"/>
  <c r="D250" i="2" l="1"/>
  <c r="C5" i="19" l="1"/>
  <c r="C4"/>
  <c r="K9" i="11"/>
  <c r="K11" s="1"/>
  <c r="J9"/>
  <c r="J11" s="1"/>
  <c r="A25" i="2" l="1"/>
  <c r="E150"/>
  <c r="C131" l="1"/>
  <c r="A145"/>
  <c r="A20" i="19"/>
  <c r="C7"/>
  <c r="E6"/>
  <c r="E5"/>
  <c r="E4"/>
  <c r="E7" l="1"/>
  <c r="E139" i="2" l="1"/>
  <c r="G44" i="11" l="1"/>
  <c r="G47" s="1"/>
  <c r="G49" s="1"/>
  <c r="C242" i="2" l="1"/>
  <c r="G51" i="11"/>
  <c r="C183" i="2" l="1"/>
  <c r="C182"/>
  <c r="C181"/>
  <c r="C180"/>
  <c r="C179"/>
  <c r="C178"/>
  <c r="G32" i="11" l="1"/>
  <c r="G35" s="1"/>
  <c r="G37" s="1"/>
  <c r="G20"/>
  <c r="G23" s="1"/>
  <c r="G39" l="1"/>
  <c r="G25"/>
  <c r="G27" l="1"/>
  <c r="B54" i="2"/>
  <c r="E173" s="1"/>
  <c r="E103" l="1"/>
  <c r="E103" i="32"/>
  <c r="E173"/>
  <c r="F173" s="1"/>
  <c r="E69"/>
  <c r="E88"/>
  <c r="E146" i="2" l="1"/>
  <c r="E186"/>
  <c r="E209" i="32"/>
  <c r="E152"/>
  <c r="F152" s="1"/>
  <c r="E25" s="1"/>
  <c r="E186"/>
  <c r="F186" s="1"/>
  <c r="F188" s="1"/>
  <c r="E26" s="1"/>
  <c r="E146"/>
  <c r="F146" s="1"/>
  <c r="C27" i="5"/>
  <c r="E24" i="32" l="1"/>
  <c r="E226"/>
  <c r="F209"/>
  <c r="C231" i="2"/>
  <c r="C230"/>
  <c r="C232"/>
  <c r="E29" i="32" l="1"/>
  <c r="E234"/>
  <c r="F226"/>
  <c r="E30" s="1"/>
  <c r="A38" i="2"/>
  <c r="A37"/>
  <c r="A35"/>
  <c r="A27"/>
  <c r="A26"/>
  <c r="A17"/>
  <c r="E299" i="32" l="1"/>
  <c r="F299" s="1"/>
  <c r="F301" s="1"/>
  <c r="E37" s="1"/>
  <c r="F234"/>
  <c r="E31" s="1"/>
  <c r="F271" l="1"/>
  <c r="E28"/>
  <c r="C199" i="2"/>
  <c r="C204"/>
  <c r="D206" s="1"/>
  <c r="E27" i="32" l="1"/>
  <c r="E47" i="2"/>
  <c r="E46"/>
  <c r="C185" s="1"/>
  <c r="E45"/>
  <c r="E44"/>
  <c r="E51"/>
  <c r="C137" l="1"/>
  <c r="C145"/>
  <c r="C138"/>
  <c r="E138" s="1"/>
  <c r="C225"/>
  <c r="C219"/>
  <c r="D252"/>
  <c r="D248"/>
  <c r="D246"/>
  <c r="D244"/>
  <c r="D178" l="1"/>
  <c r="E178" s="1"/>
  <c r="E162"/>
  <c r="E163"/>
  <c r="E164"/>
  <c r="E165"/>
  <c r="E166"/>
  <c r="E167"/>
  <c r="E168"/>
  <c r="E169"/>
  <c r="E170"/>
  <c r="E161"/>
  <c r="D62" l="1"/>
  <c r="E62" s="1"/>
  <c r="D61"/>
  <c r="E61" s="1"/>
  <c r="D94"/>
  <c r="E94" s="1"/>
  <c r="C114"/>
  <c r="D63" l="1"/>
  <c r="E63" s="1"/>
  <c r="C117"/>
  <c r="D95"/>
  <c r="E95" s="1"/>
  <c r="D96" s="1"/>
  <c r="E96" s="1"/>
  <c r="C81"/>
  <c r="C78"/>
  <c r="C267" l="1"/>
  <c r="D109"/>
  <c r="A34"/>
  <c r="A33"/>
  <c r="A32"/>
  <c r="A31"/>
  <c r="A30"/>
  <c r="A29"/>
  <c r="A28"/>
  <c r="A24"/>
  <c r="A23"/>
  <c r="A22"/>
  <c r="A21"/>
  <c r="A20"/>
  <c r="A19"/>
  <c r="A18"/>
  <c r="C21" i="8"/>
  <c r="E88" i="2"/>
  <c r="E69"/>
  <c r="D213"/>
  <c r="C16" i="4"/>
  <c r="C21" s="1"/>
  <c r="F14"/>
  <c r="E14"/>
  <c r="D14"/>
  <c r="C18" i="8"/>
  <c r="C29" i="5"/>
  <c r="C120" i="2"/>
  <c r="C111"/>
  <c r="D114"/>
  <c r="E114" s="1"/>
  <c r="E92"/>
  <c r="C265"/>
  <c r="E265" s="1"/>
  <c r="C244"/>
  <c r="D242"/>
  <c r="D253" s="1"/>
  <c r="E196"/>
  <c r="D218"/>
  <c r="C205"/>
  <c r="C200"/>
  <c r="C75"/>
  <c r="D73"/>
  <c r="E297"/>
  <c r="D298" s="1"/>
  <c r="E298" s="1"/>
  <c r="C201"/>
  <c r="C218" s="1"/>
  <c r="A44"/>
  <c r="A45"/>
  <c r="A46"/>
  <c r="A47"/>
  <c r="A51"/>
  <c r="E60"/>
  <c r="C83"/>
  <c r="A137"/>
  <c r="A144" s="1"/>
  <c r="D179"/>
  <c r="E179" s="1"/>
  <c r="D180"/>
  <c r="E180" s="1"/>
  <c r="D181"/>
  <c r="E181" s="1"/>
  <c r="D182"/>
  <c r="E182" s="1"/>
  <c r="D183"/>
  <c r="E183" s="1"/>
  <c r="E263"/>
  <c r="E232"/>
  <c r="E231"/>
  <c r="E276"/>
  <c r="E277"/>
  <c r="E278"/>
  <c r="E152" l="1"/>
  <c r="F152" s="1"/>
  <c r="E25" s="1"/>
  <c r="E209"/>
  <c r="E226" s="1"/>
  <c r="E234" s="1"/>
  <c r="E299" s="1"/>
  <c r="F299" s="1"/>
  <c r="D98"/>
  <c r="E98" s="1"/>
  <c r="E99" s="1"/>
  <c r="E244"/>
  <c r="C250"/>
  <c r="E250" s="1"/>
  <c r="C308"/>
  <c r="C31" i="5"/>
  <c r="C32" s="1"/>
  <c r="C30"/>
  <c r="C32" i="8" s="1"/>
  <c r="D199" i="2"/>
  <c r="E199" s="1"/>
  <c r="D81"/>
  <c r="E81" s="1"/>
  <c r="D76"/>
  <c r="E76" s="1"/>
  <c r="E108"/>
  <c r="D112"/>
  <c r="E112" s="1"/>
  <c r="D115"/>
  <c r="E115" s="1"/>
  <c r="D117"/>
  <c r="E117" s="1"/>
  <c r="D111"/>
  <c r="E111" s="1"/>
  <c r="D79"/>
  <c r="E79" s="1"/>
  <c r="D78"/>
  <c r="E78" s="1"/>
  <c r="C248"/>
  <c r="E248" s="1"/>
  <c r="D75"/>
  <c r="E75" s="1"/>
  <c r="C252"/>
  <c r="E252" s="1"/>
  <c r="F279"/>
  <c r="F281" s="1"/>
  <c r="E35" s="1"/>
  <c r="E242"/>
  <c r="E73"/>
  <c r="E201"/>
  <c r="C220" s="1"/>
  <c r="D172"/>
  <c r="E137"/>
  <c r="F140" s="1"/>
  <c r="C172"/>
  <c r="E48"/>
  <c r="C144"/>
  <c r="E144" s="1"/>
  <c r="E131"/>
  <c r="E218"/>
  <c r="E145"/>
  <c r="D64"/>
  <c r="E64" s="1"/>
  <c r="E65" s="1"/>
  <c r="D66" s="1"/>
  <c r="C246"/>
  <c r="E246" s="1"/>
  <c r="C258"/>
  <c r="E258" s="1"/>
  <c r="F259" s="1"/>
  <c r="E33" s="1"/>
  <c r="E295"/>
  <c r="D296" s="1"/>
  <c r="E296" s="1"/>
  <c r="F301" s="1"/>
  <c r="E37" s="1"/>
  <c r="E213"/>
  <c r="D266"/>
  <c r="E266" s="1"/>
  <c r="D267" s="1"/>
  <c r="E267" s="1"/>
  <c r="F268" s="1"/>
  <c r="E34" s="1"/>
  <c r="E132"/>
  <c r="D185"/>
  <c r="C37" i="5" l="1"/>
  <c r="C36" i="8" s="1"/>
  <c r="D200" i="2"/>
  <c r="E200" s="1"/>
  <c r="C215"/>
  <c r="D230" s="1"/>
  <c r="C29" i="8"/>
  <c r="C20"/>
  <c r="C26" s="1"/>
  <c r="C35" s="1"/>
  <c r="D82" i="2"/>
  <c r="E82" s="1"/>
  <c r="D83" s="1"/>
  <c r="E83" s="1"/>
  <c r="D118"/>
  <c r="E118" s="1"/>
  <c r="D120" s="1"/>
  <c r="E120" s="1"/>
  <c r="E23"/>
  <c r="F146"/>
  <c r="E185"/>
  <c r="F186" s="1"/>
  <c r="E172"/>
  <c r="F173" s="1"/>
  <c r="D204"/>
  <c r="E204" s="1"/>
  <c r="D205" s="1"/>
  <c r="E205" s="1"/>
  <c r="F133"/>
  <c r="E22" s="1"/>
  <c r="F254"/>
  <c r="D100"/>
  <c r="E206" l="1"/>
  <c r="E207" s="1"/>
  <c r="D208" s="1"/>
  <c r="E208" s="1"/>
  <c r="F209" s="1"/>
  <c r="E29" s="1"/>
  <c r="E32"/>
  <c r="C216"/>
  <c r="D217" s="1"/>
  <c r="E217" s="1"/>
  <c r="E230"/>
  <c r="D233" s="1"/>
  <c r="E233" s="1"/>
  <c r="F234" s="1"/>
  <c r="E31" s="1"/>
  <c r="E24"/>
  <c r="C30" i="8"/>
  <c r="C33" s="1"/>
  <c r="C37"/>
  <c r="C221" i="2"/>
  <c r="D222" s="1"/>
  <c r="E222" s="1"/>
  <c r="F188"/>
  <c r="E26" s="1"/>
  <c r="E121"/>
  <c r="D122" s="1"/>
  <c r="E84"/>
  <c r="E223" l="1"/>
  <c r="E224" s="1"/>
  <c r="D225" s="1"/>
  <c r="E225" s="1"/>
  <c r="F226" s="1"/>
  <c r="C38" i="8"/>
  <c r="D85" i="2"/>
  <c r="C122" i="32" l="1"/>
  <c r="E122" s="1"/>
  <c r="E123" s="1"/>
  <c r="D124" s="1"/>
  <c r="E124" s="1"/>
  <c r="F125" s="1"/>
  <c r="C100"/>
  <c r="E100" s="1"/>
  <c r="E101" s="1"/>
  <c r="D102" s="1"/>
  <c r="E102" s="1"/>
  <c r="F103" s="1"/>
  <c r="E20" s="1"/>
  <c r="C85"/>
  <c r="E85" s="1"/>
  <c r="E86" s="1"/>
  <c r="D87" s="1"/>
  <c r="E87" s="1"/>
  <c r="F88" s="1"/>
  <c r="E19" s="1"/>
  <c r="C66"/>
  <c r="E66" s="1"/>
  <c r="E67" s="1"/>
  <c r="D68" s="1"/>
  <c r="E68" s="1"/>
  <c r="F69" s="1"/>
  <c r="E18" s="1"/>
  <c r="F271" i="2"/>
  <c r="E27" s="1"/>
  <c r="E30"/>
  <c r="E28" s="1"/>
  <c r="C100"/>
  <c r="E100" s="1"/>
  <c r="C85"/>
  <c r="E85" s="1"/>
  <c r="E86" s="1"/>
  <c r="D87" s="1"/>
  <c r="E87" s="1"/>
  <c r="F88" s="1"/>
  <c r="E19" s="1"/>
  <c r="C66"/>
  <c r="C122"/>
  <c r="E122" s="1"/>
  <c r="E123" s="1"/>
  <c r="D124" s="1"/>
  <c r="E124" s="1"/>
  <c r="F125" s="1"/>
  <c r="E101"/>
  <c r="D102" s="1"/>
  <c r="E102" s="1"/>
  <c r="F103" s="1"/>
  <c r="E67" l="1"/>
  <c r="D68" s="1"/>
  <c r="E68" s="1"/>
  <c r="F69" s="1"/>
  <c r="E66"/>
  <c r="E21" i="32"/>
  <c r="F154"/>
  <c r="E18" i="2"/>
  <c r="E20"/>
  <c r="E21"/>
  <c r="F154"/>
  <c r="F303" s="1"/>
  <c r="E17" i="32" l="1"/>
  <c r="F303"/>
  <c r="E17" i="2"/>
  <c r="D308"/>
  <c r="E308" s="1"/>
  <c r="F309" s="1"/>
  <c r="F311" s="1"/>
  <c r="E38" s="1"/>
  <c r="D308" i="32" l="1"/>
  <c r="E308" s="1"/>
  <c r="F309" s="1"/>
  <c r="F311" s="1"/>
  <c r="E38" s="1"/>
  <c r="E39" s="1"/>
  <c r="E39" i="2"/>
  <c r="F36" s="1"/>
  <c r="F314"/>
  <c r="F4" i="19" s="1"/>
  <c r="F38" i="32" l="1"/>
  <c r="F28"/>
  <c r="F34"/>
  <c r="F32"/>
  <c r="F23"/>
  <c r="F26"/>
  <c r="F24"/>
  <c r="F29"/>
  <c r="F31"/>
  <c r="F27"/>
  <c r="F35"/>
  <c r="F22"/>
  <c r="F33"/>
  <c r="F36"/>
  <c r="F25"/>
  <c r="F30"/>
  <c r="F37"/>
  <c r="F18"/>
  <c r="F19"/>
  <c r="F20"/>
  <c r="F21"/>
  <c r="F17"/>
  <c r="F314"/>
  <c r="F17" i="2"/>
  <c r="F25"/>
  <c r="G4" i="19"/>
  <c r="H4"/>
  <c r="F37" i="2"/>
  <c r="F319"/>
  <c r="F19"/>
  <c r="F26"/>
  <c r="F18"/>
  <c r="F24"/>
  <c r="F21"/>
  <c r="F27"/>
  <c r="F34"/>
  <c r="F33"/>
  <c r="F20"/>
  <c r="F28"/>
  <c r="F29"/>
  <c r="F30"/>
  <c r="F23"/>
  <c r="F31"/>
  <c r="F22"/>
  <c r="F35"/>
  <c r="F32"/>
  <c r="F38"/>
  <c r="F5" i="19" l="1"/>
  <c r="F319" i="32"/>
  <c r="F39"/>
  <c r="F39" i="2"/>
  <c r="G5" i="19" l="1"/>
  <c r="H5"/>
  <c r="F7"/>
  <c r="F17" l="1"/>
  <c r="I17" s="1"/>
  <c r="H7"/>
  <c r="G7"/>
  <c r="A21"/>
  <c r="F9"/>
</calcChain>
</file>

<file path=xl/sharedStrings.xml><?xml version="1.0" encoding="utf-8"?>
<sst xmlns="http://schemas.openxmlformats.org/spreadsheetml/2006/main" count="1602" uniqueCount="525">
  <si>
    <t>hora</t>
  </si>
  <si>
    <t>Adicional de Insalubridade</t>
  </si>
  <si>
    <t>%</t>
  </si>
  <si>
    <t>Soma</t>
  </si>
  <si>
    <t>Encargos Sociais</t>
  </si>
  <si>
    <t>Total do Efetivo</t>
  </si>
  <si>
    <t>homem</t>
  </si>
  <si>
    <t>Adicional Noturno</t>
  </si>
  <si>
    <t>mês</t>
  </si>
  <si>
    <t>vale</t>
  </si>
  <si>
    <t>unidade</t>
  </si>
  <si>
    <t>Colete reflexivo</t>
  </si>
  <si>
    <t>IPVA</t>
  </si>
  <si>
    <t>Seguro contra terceiros</t>
  </si>
  <si>
    <t>Impostos e seguros mensais</t>
  </si>
  <si>
    <t>Custo de óleo diesel / km rodado</t>
  </si>
  <si>
    <t>km/l</t>
  </si>
  <si>
    <t>Custo mensal com óleo diesel</t>
  </si>
  <si>
    <t>km</t>
  </si>
  <si>
    <t>l/1.000 km</t>
  </si>
  <si>
    <t>Custo mensal com óleo do motor</t>
  </si>
  <si>
    <t>Custo mensal com óleo da transmissão</t>
  </si>
  <si>
    <t>Custo mensal com óleo hidráulico</t>
  </si>
  <si>
    <t>Custo de graxa /1.000 km rodados</t>
  </si>
  <si>
    <t>kg/1.000 km</t>
  </si>
  <si>
    <t>Custo mensal com graxa</t>
  </si>
  <si>
    <t>km/jogo</t>
  </si>
  <si>
    <t>toneladas</t>
  </si>
  <si>
    <t>Pá de Concha</t>
  </si>
  <si>
    <t>Vassoura</t>
  </si>
  <si>
    <t>Calça</t>
  </si>
  <si>
    <t>Camiseta</t>
  </si>
  <si>
    <t>Boné</t>
  </si>
  <si>
    <t>Luva de proteção</t>
  </si>
  <si>
    <t>R$/tonelada</t>
  </si>
  <si>
    <t>R$</t>
  </si>
  <si>
    <t>Horas Extras (100%)</t>
  </si>
  <si>
    <t>Horas Extras (50%)</t>
  </si>
  <si>
    <t>Benefícios e despesas indiretas</t>
  </si>
  <si>
    <t>Custo mensal com manutenção</t>
  </si>
  <si>
    <t>Custo (R$/mês)</t>
  </si>
  <si>
    <t>Mão-de-obra</t>
  </si>
  <si>
    <t>Quantidade</t>
  </si>
  <si>
    <t>INSS</t>
  </si>
  <si>
    <t>FGTS</t>
  </si>
  <si>
    <t>Planilha de Composição de Custos</t>
  </si>
  <si>
    <t>Motorista</t>
  </si>
  <si>
    <t>2. Uniformes e Equipamentos de Proteção Individual</t>
  </si>
  <si>
    <t>3.1.1. Depreciação</t>
  </si>
  <si>
    <t>1. Mão-de-obra</t>
  </si>
  <si>
    <t>par</t>
  </si>
  <si>
    <t>frasco 120g</t>
  </si>
  <si>
    <t>Depreciação mensal veículos coletores</t>
  </si>
  <si>
    <t>3.1.3. Impostos e Seguros</t>
  </si>
  <si>
    <t>3.1.4. Consumos</t>
  </si>
  <si>
    <t>3.1.5. Manutenção</t>
  </si>
  <si>
    <t>3. Veículos e Equipamentos</t>
  </si>
  <si>
    <t>Custo mensal com pneus</t>
  </si>
  <si>
    <t>Veículos e Equipamentos</t>
  </si>
  <si>
    <t>cj</t>
  </si>
  <si>
    <t>Total de mão-de-obra (postos de trabalho)</t>
  </si>
  <si>
    <t>Custo mensal com implantação</t>
  </si>
  <si>
    <t>3.1.6. Pneus</t>
  </si>
  <si>
    <t>Protetor solar FPS 30</t>
  </si>
  <si>
    <t>Discriminação</t>
  </si>
  <si>
    <t>Unidade</t>
  </si>
  <si>
    <t>Subtotal</t>
  </si>
  <si>
    <r>
      <t xml:space="preserve">Total </t>
    </r>
    <r>
      <rPr>
        <b/>
        <u/>
        <sz val="9"/>
        <rFont val="Arial"/>
        <family val="2"/>
      </rPr>
      <t>(R$)</t>
    </r>
  </si>
  <si>
    <t>Jaqueta com reflexivo (NBR 15.292)</t>
  </si>
  <si>
    <t>Capa de chuva amarela com reflexivo</t>
  </si>
  <si>
    <t>Botina de segurança c/ palmilha aço</t>
  </si>
  <si>
    <t>PREÇO POR TONELADA COLETADA:  [A/B]</t>
  </si>
  <si>
    <t>Custo de recapagem</t>
  </si>
  <si>
    <t>Recipiente térmico para água (5L)</t>
  </si>
  <si>
    <t>Total por Coletor</t>
  </si>
  <si>
    <t>Coletor</t>
  </si>
  <si>
    <t>Administração Central</t>
  </si>
  <si>
    <t>AC</t>
  </si>
  <si>
    <t>Seguros/Riscos/Garantias</t>
  </si>
  <si>
    <t>SRG</t>
  </si>
  <si>
    <t>Lucro</t>
  </si>
  <si>
    <t>L</t>
  </si>
  <si>
    <t>Despesas Financeiras</t>
  </si>
  <si>
    <t>DF</t>
  </si>
  <si>
    <t>Tributos - ISS</t>
  </si>
  <si>
    <t>T</t>
  </si>
  <si>
    <t>Fórmula para o cálculo do BDI:</t>
  </si>
  <si>
    <t>{[(1+AC+SRG) x (1+L) x (1+DF)] / (1-T)} -1</t>
  </si>
  <si>
    <t>Resultado do cálculo do BDI:</t>
  </si>
  <si>
    <t>1.2. Coletor Turno Noite</t>
  </si>
  <si>
    <t>Vale Transporte</t>
  </si>
  <si>
    <t>Dias Trabalhados por mês</t>
  </si>
  <si>
    <t>dia</t>
  </si>
  <si>
    <t>Custo Mensal com Mão-de-obra (R$/mês)</t>
  </si>
  <si>
    <t>Meia de algodão com cano alto</t>
  </si>
  <si>
    <r>
      <t xml:space="preserve">Custo jg. compl. + </t>
    </r>
    <r>
      <rPr>
        <sz val="10"/>
        <color indexed="10"/>
        <rFont val="Arial"/>
        <family val="2"/>
      </rPr>
      <t>X</t>
    </r>
    <r>
      <rPr>
        <sz val="10"/>
        <rFont val="Arial"/>
        <family val="2"/>
      </rPr>
      <t xml:space="preserve"> recap./ km rodado</t>
    </r>
  </si>
  <si>
    <t>Quantitativos</t>
  </si>
  <si>
    <t>horas trabalhadas</t>
  </si>
  <si>
    <t>Horas Extras Noturnas (100%)</t>
  </si>
  <si>
    <t>1.1. Coletor Turno Dia</t>
  </si>
  <si>
    <t>hora contabilizada</t>
  </si>
  <si>
    <t>Vida útil do chassis</t>
  </si>
  <si>
    <t>anos</t>
  </si>
  <si>
    <t>Depreciação do chassis</t>
  </si>
  <si>
    <t>Custo de aquisição do chassis</t>
  </si>
  <si>
    <t>i = taxa de juros do mercado (sugere-se adotar a taxa SELIC)</t>
  </si>
  <si>
    <t>n = vida útil do bem em anos</t>
  </si>
  <si>
    <t>Custo do chassis</t>
  </si>
  <si>
    <t>3.1.2. Remuneração do Capital</t>
  </si>
  <si>
    <t>Im = investimento médio</t>
  </si>
  <si>
    <t>Investimento médio total do chassis</t>
  </si>
  <si>
    <t>Remuneração mensal de capital do chassis</t>
  </si>
  <si>
    <t>Custo de manutenção dos caminhões</t>
  </si>
  <si>
    <t>Quilometragem mensal</t>
  </si>
  <si>
    <t>R$/km rodado</t>
  </si>
  <si>
    <t>Número de recapagens por pneu</t>
  </si>
  <si>
    <t>Admissões</t>
  </si>
  <si>
    <t>Desligamentos</t>
  </si>
  <si>
    <t>Dispensados com justa causa</t>
  </si>
  <si>
    <t>Dispensados sem justa causa</t>
  </si>
  <si>
    <t>Espontâneos</t>
  </si>
  <si>
    <t>Fim de contrato por prazo determinado</t>
  </si>
  <si>
    <t>Término de contrato</t>
  </si>
  <si>
    <t>Aposentados</t>
  </si>
  <si>
    <t>Mortos</t>
  </si>
  <si>
    <t>Transferência de saída</t>
  </si>
  <si>
    <t xml:space="preserve"> </t>
  </si>
  <si>
    <t>Indicadores</t>
  </si>
  <si>
    <t>Dias ano</t>
  </si>
  <si>
    <t>Estoque Médio</t>
  </si>
  <si>
    <t>Multa FGTS</t>
  </si>
  <si>
    <t>Dias de Aviso prévio</t>
  </si>
  <si>
    <t>Código</t>
  </si>
  <si>
    <t>Descrição</t>
  </si>
  <si>
    <t>Valor</t>
  </si>
  <si>
    <t>A1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</si>
  <si>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</si>
  <si>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</si>
  <si>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</si>
  <si>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</si>
  <si>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</si>
  <si>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</si>
  <si>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</si>
  <si>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</si>
  <si>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</si>
  <si>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</si>
  <si>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</si>
  <si>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</si>
  <si>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</si>
  <si>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A</t>
  </si>
  <si>
    <t>SOMA GRUPO A</t>
  </si>
  <si>
    <t>B1</t>
  </si>
  <si>
    <t>Férias gozadas</t>
  </si>
  <si>
    <t>B2</t>
  </si>
  <si>
    <t>13º salário</t>
  </si>
  <si>
    <t>B4</t>
  </si>
  <si>
    <t>Licença Paternidade</t>
  </si>
  <si>
    <t>B5</t>
  </si>
  <si>
    <t>Faltas justificadas</t>
  </si>
  <si>
    <t>B6</t>
  </si>
  <si>
    <t>Auxilio acidente de trabalho</t>
  </si>
  <si>
    <t>Auxilio doença</t>
  </si>
  <si>
    <t>B</t>
  </si>
  <si>
    <t>SOMA GRUPO B</t>
  </si>
  <si>
    <t>C1</t>
  </si>
  <si>
    <t>Aviso prévio indenizado</t>
  </si>
  <si>
    <t>C3</t>
  </si>
  <si>
    <t xml:space="preserve">Férias indenizadas </t>
  </si>
  <si>
    <t>C4</t>
  </si>
  <si>
    <t>Férias indenizadas s/ aviso previo inden.</t>
  </si>
  <si>
    <t>C5</t>
  </si>
  <si>
    <t>Depósito rescisão sem justa causa</t>
  </si>
  <si>
    <t>Indenização adicional</t>
  </si>
  <si>
    <t>C</t>
  </si>
  <si>
    <t>SOMA GRUPO C</t>
  </si>
  <si>
    <t>D1</t>
  </si>
  <si>
    <t>Reincidência de Grupo A sobre Grupo B</t>
  </si>
  <si>
    <t>D2</t>
  </si>
  <si>
    <t>D</t>
  </si>
  <si>
    <t>SOMA GRUPO D</t>
  </si>
  <si>
    <t>SOMA (A+B+C+D)</t>
  </si>
  <si>
    <t>1° Quartil</t>
  </si>
  <si>
    <t>Médio</t>
  </si>
  <si>
    <t>3° Quartil</t>
  </si>
  <si>
    <t>DU</t>
  </si>
  <si>
    <t>Licenciamento e Seguro obrigatório</t>
  </si>
  <si>
    <t>Fator de utilização</t>
  </si>
  <si>
    <t>Fator de utilização (FU)</t>
  </si>
  <si>
    <t>2.1. Uniformes e EPIs para Coletor</t>
  </si>
  <si>
    <t>2.2. Uniformes e EPIs para demais categorias</t>
  </si>
  <si>
    <t>Custo Mensal com Uniformes e EPIs (R$/mês)</t>
  </si>
  <si>
    <t>Descrição do Item</t>
  </si>
  <si>
    <t>Orçamento Sintético</t>
  </si>
  <si>
    <t>Orientações para preenchimento:</t>
  </si>
  <si>
    <t>2. Preencher somente células em amarelo</t>
  </si>
  <si>
    <t>Excluir esta linha caso a contratação seja por preço global mensal</t>
  </si>
  <si>
    <t>Rio Grande do Sul  - Coleta de Resíduos Não-Perigosos - CNAE 38114</t>
  </si>
  <si>
    <t xml:space="preserve">1. Acesse o Portal do CAGED no link http://bi.mte.gov.br/cagedestabelecimento/pages/consulta.xhtml </t>
  </si>
  <si>
    <t>3. Nível Geográfico: selecione "Unidade da Federação" e marque a opção "Rio Grande do Sul"</t>
  </si>
  <si>
    <t>4. Nível Setorial: selecione "Classe de atividade econômica segundo a classificação CNAE – versão 2.0 (669 categorias)" e marque a opção "38114 – Coleta de Resíduos Não-Perigosos"</t>
  </si>
  <si>
    <t>5. Clique em Gerar Relatório</t>
  </si>
  <si>
    <t>Para preencher esta planilha siga os passos 1 a 5:</t>
  </si>
  <si>
    <t>Idade do veículo (ano)</t>
  </si>
  <si>
    <t>Idade do veículo</t>
  </si>
  <si>
    <t>Valor do veículo proposto (V0)</t>
  </si>
  <si>
    <t>Valor do compactador proposto (V0)</t>
  </si>
  <si>
    <t>Taxa de juros anual nominal</t>
  </si>
  <si>
    <t>Piso da categoria</t>
  </si>
  <si>
    <t>Base de cálculo da Insalubridade</t>
  </si>
  <si>
    <t>Horas Extras Noturnas (50%)</t>
  </si>
  <si>
    <t>Excluir esta linha caso a contratação não tenha previsão de horas extras explícita no edital</t>
  </si>
  <si>
    <t>Descanso Semanal Remunerado (DSR) - hora extra</t>
  </si>
  <si>
    <t>C2</t>
  </si>
  <si>
    <t>B3</t>
  </si>
  <si>
    <t xml:space="preserve">Quantidade média de resíduos coletados por mês: </t>
  </si>
  <si>
    <t>Custo Mensal com Monitoramento da Frota (R$/mês)</t>
  </si>
  <si>
    <t>Implantação dos equipamentos de monitoramento</t>
  </si>
  <si>
    <t>Manutenção dos equipamentos de monitoramento</t>
  </si>
  <si>
    <t>Custo Mensal com Veículos e Equipamentos (R$/mês)</t>
  </si>
  <si>
    <t>Custo Mensal com Ferramentas e Materiais de Consumo (R$/mês)</t>
  </si>
  <si>
    <t>CUSTO TOTAL MENSAL COM DESPESAS OPERACIONAIS (R$/mês)</t>
  </si>
  <si>
    <t>PREÇO MENSAL TOTAL (R$/mês)</t>
  </si>
  <si>
    <r>
      <t>J</t>
    </r>
    <r>
      <rPr>
        <vertAlign val="subscript"/>
        <sz val="12"/>
        <color indexed="8"/>
        <rFont val="Arial"/>
        <family val="2"/>
      </rPr>
      <t>m</t>
    </r>
    <r>
      <rPr>
        <sz val="12"/>
        <color indexed="8"/>
        <rFont val="Arial"/>
        <family val="2"/>
      </rPr>
      <t xml:space="preserve"> = remuneração de capital mensal</t>
    </r>
  </si>
  <si>
    <r>
      <t>V</t>
    </r>
    <r>
      <rPr>
        <vertAlign val="subscript"/>
        <sz val="12"/>
        <color indexed="8"/>
        <rFont val="Arial"/>
        <family val="2"/>
      </rPr>
      <t>0</t>
    </r>
    <r>
      <rPr>
        <sz val="12"/>
        <color indexed="8"/>
        <rFont val="Arial"/>
        <family val="2"/>
      </rPr>
      <t xml:space="preserve"> = valor inicial do bem</t>
    </r>
  </si>
  <si>
    <r>
      <t>V</t>
    </r>
    <r>
      <rPr>
        <vertAlign val="subscript"/>
        <sz val="12"/>
        <color indexed="8"/>
        <rFont val="Arial"/>
        <family val="2"/>
      </rPr>
      <t>r</t>
    </r>
    <r>
      <rPr>
        <sz val="12"/>
        <color indexed="8"/>
        <rFont val="Arial"/>
        <family val="2"/>
      </rPr>
      <t xml:space="preserve"> = valor residual do bem</t>
    </r>
  </si>
  <si>
    <t>Custo unitário</t>
  </si>
  <si>
    <t>Custo de óleo do motor /1.000 km rodados</t>
  </si>
  <si>
    <t>Custo de óleo da transmissão /1.000 km</t>
  </si>
  <si>
    <t>Custo de óleo hidráulico / 1.000 km</t>
  </si>
  <si>
    <t>PREÇO TOTAL MENSAL COM A COLETA</t>
  </si>
  <si>
    <t>CUSTO MENSAL COM BDI (R$/mês)</t>
  </si>
  <si>
    <t>CÁLCULO DAS VERBAS INDENIZATÓRIAS DOS EMPREGADOS NO SETOR DE COLETA DE RSU</t>
  </si>
  <si>
    <t>6. Preencha as células em amarelo</t>
  </si>
  <si>
    <t>1/3 de férias (dias)</t>
  </si>
  <si>
    <t>Férias (dias)</t>
  </si>
  <si>
    <t>13º Salário (dias)</t>
  </si>
  <si>
    <t>Referência estudo TCE</t>
  </si>
  <si>
    <t>1. Preencha previamente os dados de entrada na planilha 3.CAGED</t>
  </si>
  <si>
    <t>Rotatividade temporal (meses)</t>
  </si>
  <si>
    <t>1. Esta planilha é somente um modelo-base e deve ser ajustada conforme cada caso concreto.</t>
  </si>
  <si>
    <t>Fórmula de cálculo da remuneração de capital:</t>
  </si>
  <si>
    <t>Excluir esta linha caso a contratação não tenha previsão de horas extras 100% explícita no edital</t>
  </si>
  <si>
    <t>Excluir esta linha caso a contratação não tenha previsão de horas extras noturnas 100% explícita no edital</t>
  </si>
  <si>
    <t>Excluir esta linha caso a contratação não tenha previsão de horas extras 50% explícita no edital</t>
  </si>
  <si>
    <t>Excluir esta linha caso a contratação não tenha previsão de horas extras noturnas 50% explícita no edital</t>
  </si>
  <si>
    <t>Total por Motorista</t>
  </si>
  <si>
    <t>2. Na Especificação da Consulta, selecione "Demonstrativo por período" e informe as competências relativas ao período Inicial e Final (últimos 12 meses)</t>
  </si>
  <si>
    <t>Durabilidade (meses)</t>
  </si>
  <si>
    <t>Custo com consumos/km rodado</t>
  </si>
  <si>
    <t>Consumo</t>
  </si>
  <si>
    <t>Total por veículo</t>
  </si>
  <si>
    <t>Total da frota</t>
  </si>
  <si>
    <t>Unid</t>
  </si>
  <si>
    <t>i</t>
  </si>
  <si>
    <t>3. Preencher somente células em amarelo</t>
  </si>
  <si>
    <t>Depreciação Média</t>
  </si>
  <si>
    <t xml:space="preserve">1. Esta planilha é somente um modelo-base, devendo ser adaptada para cada caso concreto. </t>
  </si>
  <si>
    <t>Qualquer custo previsto no edital e não contemplado nesta planilha deverá ser devidamente incluído.</t>
  </si>
  <si>
    <t>4. As células azuis deverão ter seus valores preenchidos em outra planilha do arquivo.</t>
  </si>
  <si>
    <t>2. Antes de preenchê-la, leia a Orientação Técnica - Serviço de coleta de resíduos sólidos domiciliares</t>
  </si>
  <si>
    <t>Reincidência de FGTS sobre aviso prévio indenizado</t>
  </si>
  <si>
    <t>O orçamento deve ser realizado por responsável técnico habilitado e é de responsabilidade do seu autor.</t>
  </si>
  <si>
    <t>Piso da categoria (2)</t>
  </si>
  <si>
    <t>Salário mínimo nacional (1)</t>
  </si>
  <si>
    <t>O TCE/RS não se responsabiliza pelo uso incorreto desta planilha.</t>
  </si>
  <si>
    <t>% Demitidos s/ Justa Causa em relação ao Estoque Médio</t>
  </si>
  <si>
    <t>Taxa de Rotatividade</t>
  </si>
  <si>
    <t>Acordo</t>
  </si>
  <si>
    <t>Estoque recuperado início do Período 01-03-2018</t>
  </si>
  <si>
    <t>Estoque recuperado final do Período 28-02-2019</t>
  </si>
  <si>
    <t>Variação Emprego Absoluta de 01-03-2018 a 28-02-2019</t>
  </si>
  <si>
    <t xml:space="preserve">O orçamento deve ser realizado por responsável técnico habilitado e é </t>
  </si>
  <si>
    <t>de responsabilidade do seu autor.</t>
  </si>
  <si>
    <t xml:space="preserve">O orçamento deve ser realizado por responsável técnico habilitado e </t>
  </si>
  <si>
    <t>é de responsabilidade do seu autor.</t>
  </si>
  <si>
    <t xml:space="preserve">Ordem </t>
  </si>
  <si>
    <t xml:space="preserve">Periodicidade: Segunda a sábado </t>
  </si>
  <si>
    <t xml:space="preserve">Nr. Func. </t>
  </si>
  <si>
    <t xml:space="preserve">Cargo </t>
  </si>
  <si>
    <t xml:space="preserve">Dias </t>
  </si>
  <si>
    <t xml:space="preserve">Entrada </t>
  </si>
  <si>
    <t>Saída</t>
  </si>
  <si>
    <t xml:space="preserve">Total de horas por coletor </t>
  </si>
  <si>
    <t xml:space="preserve">Total de dias por semana </t>
  </si>
  <si>
    <t xml:space="preserve">Total de horas por semana </t>
  </si>
  <si>
    <t xml:space="preserve">Dias úteis semana </t>
  </si>
  <si>
    <t>Total de dias com (DSR) Descanso Semanal Remunerado</t>
  </si>
  <si>
    <t>Total de horas/dia com (DSR)</t>
  </si>
  <si>
    <t xml:space="preserve">Total de dias no mês (30 dias) </t>
  </si>
  <si>
    <t>Total geral de horas mês com (DSR)</t>
  </si>
  <si>
    <t xml:space="preserve">Total de horas por motorista </t>
  </si>
  <si>
    <t>Total geral de horas base mês com (DSR)</t>
  </si>
  <si>
    <t xml:space="preserve">Fator de utilização </t>
  </si>
  <si>
    <t>Distância</t>
  </si>
  <si>
    <t>Und.</t>
  </si>
  <si>
    <t>Cor Linha</t>
  </si>
  <si>
    <t>Ponto a Ponto</t>
  </si>
  <si>
    <t>m</t>
  </si>
  <si>
    <t>Trecho 01</t>
  </si>
  <si>
    <t>1 - 2</t>
  </si>
  <si>
    <t>Trecho 02</t>
  </si>
  <si>
    <t>2 - 3</t>
  </si>
  <si>
    <t>Trecho 03</t>
  </si>
  <si>
    <t>3 - 4</t>
  </si>
  <si>
    <t>Trecho 04</t>
  </si>
  <si>
    <t>4 - 5</t>
  </si>
  <si>
    <t>Trecho 05</t>
  </si>
  <si>
    <t>5 - 6</t>
  </si>
  <si>
    <t>Trecho 06</t>
  </si>
  <si>
    <t>6 - 7</t>
  </si>
  <si>
    <t>Trecho 07</t>
  </si>
  <si>
    <t>7 - 8</t>
  </si>
  <si>
    <t>Trecho 08</t>
  </si>
  <si>
    <t>Trecho 09</t>
  </si>
  <si>
    <t>Distância total da Rota:</t>
  </si>
  <si>
    <t>Dias da semana</t>
  </si>
  <si>
    <t>Trecho</t>
  </si>
  <si>
    <t>x</t>
  </si>
  <si>
    <t>Total Semanal</t>
  </si>
  <si>
    <t>Km</t>
  </si>
  <si>
    <t>Total Mensal</t>
  </si>
  <si>
    <t>8 - 9</t>
  </si>
  <si>
    <t>9 - 10</t>
  </si>
  <si>
    <t xml:space="preserve">Cargo: Motorista da coleta do lixo orgânico </t>
  </si>
  <si>
    <t>Tributos - PIS/COFINS/ e CPP se houver</t>
  </si>
  <si>
    <t>Custo de aquisição do compactador</t>
  </si>
  <si>
    <t>Idade do chassis</t>
  </si>
  <si>
    <t>Depreciação mensal do chassis</t>
  </si>
  <si>
    <t>Encarregado</t>
  </si>
  <si>
    <t xml:space="preserve">Descrição </t>
  </si>
  <si>
    <t>IPCA</t>
  </si>
  <si>
    <t>Valor Atual</t>
  </si>
  <si>
    <t xml:space="preserve">Diferença </t>
  </si>
  <si>
    <t>Total Geral</t>
  </si>
  <si>
    <t xml:space="preserve">Toneladas Total </t>
  </si>
  <si>
    <t>Custo R$/Ton</t>
  </si>
  <si>
    <t>Resumo</t>
  </si>
  <si>
    <t xml:space="preserve">Admin. </t>
  </si>
  <si>
    <t>Encargos Soc.</t>
  </si>
  <si>
    <t xml:space="preserve">Total % </t>
  </si>
  <si>
    <t>Total Margem</t>
  </si>
  <si>
    <t>Publicidade (adesivos equipamentos e veículos)</t>
  </si>
  <si>
    <t xml:space="preserve">mês </t>
  </si>
  <si>
    <t xml:space="preserve">Publicidade/Educação ambiental </t>
  </si>
  <si>
    <t>Valor atual R$</t>
  </si>
  <si>
    <t xml:space="preserve">PO Novo </t>
  </si>
  <si>
    <t>Diferença %</t>
  </si>
  <si>
    <t>Fator de util.</t>
  </si>
  <si>
    <t xml:space="preserve">Plano de Benefício Social </t>
  </si>
  <si>
    <t>ROTAS DE COLETA</t>
  </si>
  <si>
    <t xml:space="preserve">Total dos percursos Orgânicos </t>
  </si>
  <si>
    <t>Rota</t>
  </si>
  <si>
    <t>Distância: Coleta +  Transporte</t>
  </si>
  <si>
    <t>Rota 1</t>
  </si>
  <si>
    <t>Distância total diária:</t>
  </si>
  <si>
    <t>Rota 2</t>
  </si>
  <si>
    <t>Coleta Rota 2</t>
  </si>
  <si>
    <t>Rota 3</t>
  </si>
  <si>
    <t xml:space="preserve">Composição dos Encargos Sociais </t>
  </si>
  <si>
    <t>6. CAGED</t>
  </si>
  <si>
    <t>Composição do BDI - Benefícios e Despesas Indiretas</t>
  </si>
  <si>
    <t>Depreciação Referencial TCE/RS (%)</t>
  </si>
  <si>
    <t>Remuneração de Capital</t>
  </si>
  <si>
    <t xml:space="preserve">Custo do jogo de pneus </t>
  </si>
  <si>
    <t xml:space="preserve">Custo mensal com Arla </t>
  </si>
  <si>
    <t>Custo de arla (5% do consumo de Óleo Diesel)</t>
  </si>
  <si>
    <t xml:space="preserve">Investimento médio total </t>
  </si>
  <si>
    <t xml:space="preserve">Remuneração mensal de capital </t>
  </si>
  <si>
    <t xml:space="preserve"> TOTAL = ROTAS DE COLETA + TRANSPORTE </t>
  </si>
  <si>
    <t xml:space="preserve">TOTAL MENSAL = ROTAS DE COLETA + TRANSPORTE </t>
  </si>
  <si>
    <t xml:space="preserve">1. Coleta e Transportes de Resíduos Sólidos </t>
  </si>
  <si>
    <t xml:space="preserve">Coleta orgânica e transporte </t>
  </si>
  <si>
    <t>Coleta seletiva e transporte</t>
  </si>
  <si>
    <t>Frota Reserva 10%</t>
  </si>
  <si>
    <t>Sábado</t>
  </si>
  <si>
    <t>Segunda, Quarta e Sexta</t>
  </si>
  <si>
    <t>Coleta Rota 3</t>
  </si>
  <si>
    <t>Coleta Rota 4</t>
  </si>
  <si>
    <t>Rota 4</t>
  </si>
  <si>
    <t>Coleta Rota 5</t>
  </si>
  <si>
    <t>Rota 5</t>
  </si>
  <si>
    <t>Rota 6</t>
  </si>
  <si>
    <t>Coleta Rota 6</t>
  </si>
  <si>
    <t>Horas/dia</t>
  </si>
  <si>
    <t>Hrs/semana</t>
  </si>
  <si>
    <t>Total por Encarregado</t>
  </si>
  <si>
    <t>Seg, qua e sex</t>
  </si>
  <si>
    <t>Orgânica</t>
  </si>
  <si>
    <t xml:space="preserve">Coleta </t>
  </si>
  <si>
    <t>Seletiva</t>
  </si>
  <si>
    <t>Interior</t>
  </si>
  <si>
    <t>Terça e quinta</t>
  </si>
  <si>
    <t xml:space="preserve">Custo mensal com veículo de apoio </t>
  </si>
  <si>
    <t xml:space="preserve">5. Administração Local </t>
  </si>
  <si>
    <t>6. Monitoramento da Frota</t>
  </si>
  <si>
    <t>7. Benefícios e Despesas Indiretas - BDI</t>
  </si>
  <si>
    <t xml:space="preserve">Total Atual </t>
  </si>
  <si>
    <t xml:space="preserve">Valor atualizado </t>
  </si>
  <si>
    <t>Inflação INPC Acumulado 5,1979%</t>
  </si>
  <si>
    <t xml:space="preserve">4. Ferramentas, Materiais de Consumo </t>
  </si>
  <si>
    <t>1.2. Motorista Turno do Dia</t>
  </si>
  <si>
    <t>1.3. Encarregado/Supervisor</t>
  </si>
  <si>
    <t>1.4. Vale Transporte</t>
  </si>
  <si>
    <t>1.5. Vale-refeição (diário)</t>
  </si>
  <si>
    <t>1.6. Auxílio Alimentação (mensal)</t>
  </si>
  <si>
    <t xml:space="preserve">1.7. Plano de Benefício Social  </t>
  </si>
  <si>
    <t xml:space="preserve">Obs1: salário mínimo nacional previsto em R$1.100,00 para 2021.  </t>
  </si>
  <si>
    <t>Hrs/Veíc</t>
  </si>
  <si>
    <t xml:space="preserve">Obs: Convenção Coletiva (Sind. ASSEIO 2021).  </t>
  </si>
  <si>
    <t xml:space="preserve">Coletor </t>
  </si>
  <si>
    <t>Planilha com os horários dos funcionários coleta de resíduos orgânicos e seletivos</t>
  </si>
  <si>
    <t xml:space="preserve">Cargo: Coletor e motorista de resíduos orgânicos </t>
  </si>
  <si>
    <t xml:space="preserve">Prefeitura Municipal de São José do Ouro </t>
  </si>
  <si>
    <t xml:space="preserve">PREFEITURA MUNICIPAL DE SÃO JOSÉ DO OURO </t>
  </si>
  <si>
    <t xml:space="preserve">Rota 1 </t>
  </si>
  <si>
    <t xml:space="preserve">Resumo do Percurso - Coleta de Resíduos Domiciliares - Orgânico e Seletivo   </t>
  </si>
  <si>
    <t>Locais de coleta: Área urbana da cidade</t>
  </si>
  <si>
    <t>Coleta Rota 1</t>
  </si>
  <si>
    <t>Nº. Coleta Semanal</t>
  </si>
  <si>
    <t xml:space="preserve">Garagem - Inicio da Rota </t>
  </si>
  <si>
    <t>verde</t>
  </si>
  <si>
    <t>Início da Rota - Final da Rota (Coleta)</t>
  </si>
  <si>
    <t>vermelho</t>
  </si>
  <si>
    <t>Final da rota - Central de Triagem</t>
  </si>
  <si>
    <t>azul</t>
  </si>
  <si>
    <t>Viajens extras até o Central de Triagem (4 x 5,5 km)</t>
  </si>
  <si>
    <t>amarelo</t>
  </si>
  <si>
    <t>majenta</t>
  </si>
  <si>
    <t>verde escuro</t>
  </si>
  <si>
    <t>azul claro</t>
  </si>
  <si>
    <t xml:space="preserve">Resumo do Percurso - Coleta de Resíduos Domiciliares - Seletivo   </t>
  </si>
  <si>
    <t>laranja</t>
  </si>
  <si>
    <t>roxo</t>
  </si>
  <si>
    <t>Terça</t>
  </si>
  <si>
    <t xml:space="preserve"> Quinta</t>
  </si>
  <si>
    <t/>
  </si>
  <si>
    <t>Total dos percursos Seletivos Interior</t>
  </si>
  <si>
    <t>Viajens extras até o Central de Triagem (1 x 5,5 km)</t>
  </si>
  <si>
    <t>Terça - Primeira semana do mês</t>
  </si>
  <si>
    <t xml:space="preserve">Resumo do Percurso - Coleta de Resíduos Domiciliares - Seletivo  Interior  </t>
  </si>
  <si>
    <t>Terça - Segunda semana do mês</t>
  </si>
  <si>
    <t>Locais de coleta: Área central da cidade</t>
  </si>
  <si>
    <t>Terça - Terceira semana do mês</t>
  </si>
  <si>
    <t>Locais de coleta: Área do Interior da cidade</t>
  </si>
  <si>
    <t xml:space="preserve">7 - 8 </t>
  </si>
  <si>
    <t>Total dos percursos Seletivos Urbano</t>
  </si>
  <si>
    <t>Total dos percursos Seletivos - Urbano + Interior</t>
  </si>
  <si>
    <t xml:space="preserve">Máscara facial </t>
  </si>
  <si>
    <t xml:space="preserve">3.1. Veículo Coletor com caçamba </t>
  </si>
  <si>
    <t xml:space="preserve">Custo de aquisição caçamba </t>
  </si>
  <si>
    <t xml:space="preserve">AGÊNCIA NACIONAL DO PETRÓLEO, GÁS NATURAL E BIOCOMBUSTÍVEIS - ANP </t>
  </si>
  <si>
    <t xml:space="preserve">COORDENADORIA DE DEFESA DA CONCORRÊNCIA </t>
  </si>
  <si>
    <t xml:space="preserve">SISTEMA DE LEVANTAMENTO DE PREÇOS </t>
  </si>
  <si>
    <t>Síntese dos Preços Praticados - CAXIAS DO SUL</t>
  </si>
  <si>
    <t xml:space="preserve">Resumo I - OLEO DIESEL S10 R$/l </t>
  </si>
  <si>
    <t xml:space="preserve">Período: De 27/06/2021 a 03/07/2021 </t>
  </si>
  <si>
    <t>RELAÇÃO DE POSTOS PESQUISADOS</t>
  </si>
  <si>
    <t>RAZÃO SOCIAL</t>
  </si>
  <si>
    <t>ENDEREÇO</t>
  </si>
  <si>
    <t>BAIRRO</t>
  </si>
  <si>
    <t>BANDEIRA</t>
  </si>
  <si>
    <t>PREÇO VENDA</t>
  </si>
  <si>
    <t>DATA COLETA</t>
  </si>
  <si>
    <t>AUTO POSTO TRONCA LTDA</t>
  </si>
  <si>
    <t>RUA TRONCA, 2745</t>
  </si>
  <si>
    <t>Rio Branco</t>
  </si>
  <si>
    <t>BRANCA</t>
  </si>
  <si>
    <t>POSTO DE SERVICOS ALCEU LTDA</t>
  </si>
  <si>
    <t>RUA MATTEO GIANELLA, 1007</t>
  </si>
  <si>
    <t>Santa Catarina</t>
  </si>
  <si>
    <t>IPIRANGA</t>
  </si>
  <si>
    <t>POSTO DE SERVICOS OLIBAL LTDA</t>
  </si>
  <si>
    <t>AVENIDA RIO BRANCO, 891 TERREO</t>
  </si>
  <si>
    <t>ABASTECEDORA DE COMBUSTIVEIS AJP LTDA</t>
  </si>
  <si>
    <t>RODOVIA BR 116, 20286 KM 151,2</t>
  </si>
  <si>
    <t>Bela Vista</t>
  </si>
  <si>
    <t>RODOIL</t>
  </si>
  <si>
    <t>BONETO &amp; CAPELETTI LTDA</t>
  </si>
  <si>
    <t>AVENIDA RIO BRANCO, 1993</t>
  </si>
  <si>
    <t>SIM REDE DE POSTOS LTDA</t>
  </si>
  <si>
    <t>RUA RUA TEIXEIRA MENDES, 941 SALA A</t>
  </si>
  <si>
    <t>Cinquentenario</t>
  </si>
  <si>
    <t>PETROBRAS DISTRIBUIDORA S.A.</t>
  </si>
  <si>
    <t>AVENIDA PERIMETRAL RUBEN BENTO ALVES, 1592</t>
  </si>
  <si>
    <t>Juventude</t>
  </si>
  <si>
    <t>RT - COMERCIO DE COMBUSTIVEIS LTDA</t>
  </si>
  <si>
    <t>RUA TRONCA, 683</t>
  </si>
  <si>
    <t>Nossa Senhora de Lurdes</t>
  </si>
  <si>
    <t>AVENIDA SAO LEOPOLDO, 35</t>
  </si>
  <si>
    <t>Sao Leopoldo</t>
  </si>
  <si>
    <t>AUTO POSTO COMBOIO LTDA</t>
  </si>
  <si>
    <t>AVENIDA JULIO DE CASTILHOS, 3221</t>
  </si>
  <si>
    <t>Centro</t>
  </si>
  <si>
    <t>RAIZEN</t>
  </si>
  <si>
    <t>ANDEBRAZ MEGA POSTOS LTDA</t>
  </si>
  <si>
    <t>RUA BENTO GONÇALVES, 2942</t>
  </si>
  <si>
    <t>Sao Pelegrino</t>
  </si>
  <si>
    <t>POSTO LONGHI LTDA</t>
  </si>
  <si>
    <t>RUA ALFREDO CHAVES, 1234</t>
  </si>
  <si>
    <t>AUTO POSTO RODEIO LTDA</t>
  </si>
  <si>
    <t>RUA GENERAL ARCY DA ROCHA NOBREGA, 1342</t>
  </si>
  <si>
    <t>Jardim America</t>
  </si>
  <si>
    <t>RUA TRONCA, 1607</t>
  </si>
  <si>
    <t>Exposicao</t>
  </si>
  <si>
    <t>AVENIDA ROSSETI, 744</t>
  </si>
  <si>
    <t>MÉDIA</t>
  </si>
  <si>
    <t>DESVIO PADRÃO</t>
  </si>
  <si>
    <t>VALOR MÍNIMO</t>
  </si>
  <si>
    <t>VALOR MÁXIMO</t>
  </si>
  <si>
    <t>Data de Emissão : 06/07/2021</t>
  </si>
  <si>
    <t>Durab. (meses)</t>
  </si>
  <si>
    <t>Lavagem dos caminhões semanal</t>
  </si>
  <si>
    <t>Seletiva Centro</t>
  </si>
  <si>
    <t xml:space="preserve">Cargo: Coletor e motoristas de resíduos seletivos e interior </t>
  </si>
  <si>
    <t xml:space="preserve">2. Coleta de Resíduos Seletivos </t>
  </si>
  <si>
    <t xml:space="preserve">Considerado 6 horas semanais.  </t>
  </si>
  <si>
    <t>População IBGE 2020</t>
  </si>
  <si>
    <t xml:space="preserve">KG/dia </t>
  </si>
  <si>
    <t xml:space="preserve">Ton/Mês </t>
  </si>
  <si>
    <t xml:space="preserve">Total Geral toneladas ano </t>
  </si>
  <si>
    <t xml:space="preserve">Previsão de Ton de Resíduos Orgânicos e Seletivos a serem coletadas </t>
  </si>
  <si>
    <t>Obs: Salário do motorista conforme Convenção Coletiva (Sinecarga 2021)</t>
  </si>
  <si>
    <t xml:space="preserve">Resumo Custo Coleta dos Resíduos Sólidos </t>
  </si>
  <si>
    <t xml:space="preserve">Planilha de coleta de Resíduos em São José do Ouro </t>
  </si>
  <si>
    <t>Terça (3 vezes no mês)</t>
  </si>
</sst>
</file>

<file path=xl/styles.xml><?xml version="1.0" encoding="utf-8"?>
<styleSheet xmlns="http://schemas.openxmlformats.org/spreadsheetml/2006/main">
  <numFmts count="1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 &quot;#,##0.00_);\(&quot;R$ &quot;#,##0.00\)"/>
    <numFmt numFmtId="165" formatCode="_(* #,##0.00_);_(* \(#,##0.00\);_(* &quot;-&quot;??_);_(@_)"/>
    <numFmt numFmtId="166" formatCode="_(* #,##0_);_(* \(#,##0\);_(* &quot;-&quot;??_);_(@_)"/>
    <numFmt numFmtId="167" formatCode="_(* #,##0.000_);_(* \(#,##0.000\);_(* &quot;-&quot;??_);_(@_)"/>
    <numFmt numFmtId="168" formatCode="&quot;R$ &quot;#,##0.00"/>
    <numFmt numFmtId="169" formatCode="0.0000"/>
    <numFmt numFmtId="170" formatCode="_-* #,##0.0_-;\-* #,##0.0_-;_-* &quot;-&quot;??_-;_-@_-"/>
    <numFmt numFmtId="171" formatCode="_ * #,##0.00_ ;_ * \-#,##0.00_ ;_ * &quot;-&quot;??_ ;_ @_ "/>
    <numFmt numFmtId="172" formatCode="_(* #,##0.0000_);_(* \(#,##0.0000\);_(* &quot;-&quot;??_);_(@_)"/>
    <numFmt numFmtId="173" formatCode="0.0"/>
    <numFmt numFmtId="174" formatCode="0.000"/>
    <numFmt numFmtId="175" formatCode="_(* #,##0.0000000_);_(* \(#,##0.0000000\);_(* &quot;-&quot;??_);_(@_)"/>
    <numFmt numFmtId="176" formatCode="_(* #,##0.000000_);_(* \(#,##0.000000\);_(* &quot;-&quot;??_);_(@_)"/>
    <numFmt numFmtId="177" formatCode="0.00000"/>
    <numFmt numFmtId="178" formatCode="_-* #,##0_-;\-* #,##0_-;_-* &quot;-&quot;??_-;_-@_-"/>
  </numFmts>
  <fonts count="4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vertAlign val="subscript"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094AE"/>
        <bgColor indexed="64"/>
      </patternFill>
    </fill>
    <fill>
      <patternFill patternType="solid">
        <fgColor rgb="FFEFEFEF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45" fillId="0" borderId="0" applyFont="0" applyFill="0" applyBorder="0" applyAlignment="0" applyProtection="0"/>
    <xf numFmtId="0" fontId="16" fillId="0" borderId="0"/>
    <xf numFmtId="0" fontId="17" fillId="0" borderId="0"/>
    <xf numFmtId="0" fontId="45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45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5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587">
    <xf numFmtId="0" fontId="0" fillId="0" borderId="0" xfId="0"/>
    <xf numFmtId="0" fontId="22" fillId="0" borderId="0" xfId="0" applyFont="1"/>
    <xf numFmtId="0" fontId="22" fillId="0" borderId="1" xfId="0" applyFont="1" applyBorder="1"/>
    <xf numFmtId="0" fontId="2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5" fontId="0" fillId="0" borderId="0" xfId="3" applyFont="1" applyAlignment="1">
      <alignment vertical="center"/>
    </xf>
    <xf numFmtId="0" fontId="17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22" fillId="0" borderId="0" xfId="3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2" xfId="0" applyFont="1" applyBorder="1" applyAlignment="1">
      <alignment horizontal="center" vertical="center"/>
    </xf>
    <xf numFmtId="165" fontId="22" fillId="0" borderId="2" xfId="3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165" fontId="22" fillId="0" borderId="1" xfId="3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5" fontId="22" fillId="0" borderId="0" xfId="3" applyFont="1" applyAlignment="1">
      <alignment horizontal="center" vertical="center"/>
    </xf>
    <xf numFmtId="165" fontId="19" fillId="2" borderId="4" xfId="3" applyFont="1" applyFill="1" applyBorder="1" applyAlignment="1">
      <alignment horizontal="center" vertical="center"/>
    </xf>
    <xf numFmtId="165" fontId="19" fillId="2" borderId="4" xfId="3" applyFont="1" applyFill="1" applyBorder="1" applyAlignment="1">
      <alignment vertical="center"/>
    </xf>
    <xf numFmtId="165" fontId="19" fillId="0" borderId="0" xfId="3" applyFont="1" applyFill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165" fontId="19" fillId="0" borderId="6" xfId="3" applyFont="1" applyBorder="1" applyAlignment="1">
      <alignment vertical="center"/>
    </xf>
    <xf numFmtId="165" fontId="19" fillId="0" borderId="7" xfId="3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165" fontId="22" fillId="0" borderId="6" xfId="3" applyFont="1" applyBorder="1" applyAlignment="1">
      <alignment vertical="center"/>
    </xf>
    <xf numFmtId="165" fontId="22" fillId="0" borderId="7" xfId="3" applyFont="1" applyBorder="1" applyAlignment="1">
      <alignment vertical="center"/>
    </xf>
    <xf numFmtId="165" fontId="19" fillId="0" borderId="0" xfId="3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165" fontId="19" fillId="0" borderId="0" xfId="3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5" fontId="19" fillId="0" borderId="0" xfId="3" applyFont="1" applyBorder="1" applyAlignment="1">
      <alignment vertical="center"/>
    </xf>
    <xf numFmtId="165" fontId="21" fillId="0" borderId="0" xfId="3" applyFont="1" applyAlignment="1">
      <alignment vertical="center"/>
    </xf>
    <xf numFmtId="166" fontId="22" fillId="0" borderId="1" xfId="3" applyNumberFormat="1" applyFont="1" applyBorder="1" applyAlignment="1">
      <alignment vertical="center"/>
    </xf>
    <xf numFmtId="165" fontId="22" fillId="0" borderId="0" xfId="3" applyFont="1"/>
    <xf numFmtId="165" fontId="20" fillId="0" borderId="0" xfId="3" applyFont="1" applyAlignment="1">
      <alignment vertical="center"/>
    </xf>
    <xf numFmtId="165" fontId="0" fillId="0" borderId="11" xfId="3" applyFont="1" applyBorder="1" applyAlignment="1">
      <alignment vertical="center"/>
    </xf>
    <xf numFmtId="165" fontId="19" fillId="0" borderId="12" xfId="3" applyFont="1" applyBorder="1" applyAlignment="1">
      <alignment horizontal="center" vertical="center"/>
    </xf>
    <xf numFmtId="165" fontId="19" fillId="0" borderId="5" xfId="3" applyFont="1" applyBorder="1" applyAlignment="1">
      <alignment horizontal="left" vertical="center"/>
    </xf>
    <xf numFmtId="4" fontId="19" fillId="0" borderId="6" xfId="0" applyNumberFormat="1" applyFont="1" applyBorder="1" applyAlignment="1">
      <alignment horizontal="centerContinuous" vertical="center"/>
    </xf>
    <xf numFmtId="165" fontId="19" fillId="0" borderId="0" xfId="3" applyFont="1" applyAlignment="1">
      <alignment vertical="center"/>
    </xf>
    <xf numFmtId="165" fontId="0" fillId="0" borderId="9" xfId="0" applyNumberFormat="1" applyBorder="1" applyAlignment="1">
      <alignment vertical="center"/>
    </xf>
    <xf numFmtId="4" fontId="0" fillId="0" borderId="9" xfId="0" applyNumberFormat="1" applyBorder="1" applyAlignment="1">
      <alignment horizontal="centerContinuous" vertical="center"/>
    </xf>
    <xf numFmtId="165" fontId="0" fillId="0" borderId="9" xfId="3" applyFont="1" applyBorder="1" applyAlignment="1">
      <alignment vertical="center"/>
    </xf>
    <xf numFmtId="165" fontId="19" fillId="0" borderId="13" xfId="3" applyFont="1" applyBorder="1" applyAlignment="1">
      <alignment horizontal="right" vertical="center"/>
    </xf>
    <xf numFmtId="165" fontId="0" fillId="0" borderId="14" xfId="3" applyFont="1" applyBorder="1" applyAlignment="1">
      <alignment vertical="center"/>
    </xf>
    <xf numFmtId="165" fontId="22" fillId="0" borderId="1" xfId="3" applyFont="1" applyBorder="1" applyAlignment="1">
      <alignment vertical="center"/>
    </xf>
    <xf numFmtId="0" fontId="27" fillId="0" borderId="0" xfId="0" applyFont="1" applyAlignment="1">
      <alignment vertical="center"/>
    </xf>
    <xf numFmtId="0" fontId="22" fillId="0" borderId="0" xfId="0" applyFont="1" applyFill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165" fontId="22" fillId="0" borderId="0" xfId="3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165" fontId="20" fillId="0" borderId="0" xfId="3" applyFont="1" applyBorder="1" applyAlignment="1">
      <alignment vertical="center"/>
    </xf>
    <xf numFmtId="10" fontId="0" fillId="0" borderId="15" xfId="2" applyNumberFormat="1" applyFont="1" applyBorder="1" applyAlignment="1">
      <alignment vertical="center"/>
    </xf>
    <xf numFmtId="165" fontId="22" fillId="0" borderId="0" xfId="3" applyFont="1" applyBorder="1" applyAlignment="1">
      <alignment vertical="center"/>
    </xf>
    <xf numFmtId="0" fontId="29" fillId="2" borderId="16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165" fontId="29" fillId="2" borderId="17" xfId="3" applyFont="1" applyFill="1" applyBorder="1" applyAlignment="1">
      <alignment horizontal="center" vertical="center"/>
    </xf>
    <xf numFmtId="165" fontId="29" fillId="2" borderId="18" xfId="3" applyFont="1" applyFill="1" applyBorder="1" applyAlignment="1">
      <alignment horizontal="center" vertical="center"/>
    </xf>
    <xf numFmtId="165" fontId="19" fillId="0" borderId="19" xfId="3" applyFont="1" applyBorder="1" applyAlignment="1">
      <alignment horizontal="center" vertical="center"/>
    </xf>
    <xf numFmtId="165" fontId="17" fillId="0" borderId="14" xfId="3" applyFont="1" applyBorder="1" applyAlignment="1">
      <alignment horizontal="left" vertical="center"/>
    </xf>
    <xf numFmtId="165" fontId="22" fillId="0" borderId="9" xfId="3" applyFont="1" applyBorder="1" applyAlignment="1">
      <alignment vertical="center"/>
    </xf>
    <xf numFmtId="165" fontId="22" fillId="0" borderId="14" xfId="3" applyFont="1" applyBorder="1" applyAlignment="1">
      <alignment vertical="center"/>
    </xf>
    <xf numFmtId="166" fontId="22" fillId="0" borderId="0" xfId="3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" fontId="22" fillId="0" borderId="20" xfId="3" applyNumberFormat="1" applyFont="1" applyBorder="1" applyAlignment="1">
      <alignment horizontal="center" vertical="center"/>
    </xf>
    <xf numFmtId="165" fontId="19" fillId="0" borderId="28" xfId="3" applyFont="1" applyBorder="1" applyAlignment="1">
      <alignment vertical="center"/>
    </xf>
    <xf numFmtId="4" fontId="19" fillId="0" borderId="29" xfId="0" applyNumberFormat="1" applyFont="1" applyBorder="1" applyAlignment="1">
      <alignment vertical="center"/>
    </xf>
    <xf numFmtId="165" fontId="22" fillId="0" borderId="19" xfId="3" applyFont="1" applyBorder="1" applyAlignment="1">
      <alignment vertical="center"/>
    </xf>
    <xf numFmtId="165" fontId="22" fillId="0" borderId="11" xfId="3" applyFont="1" applyBorder="1" applyAlignment="1">
      <alignment vertical="center"/>
    </xf>
    <xf numFmtId="0" fontId="0" fillId="0" borderId="11" xfId="0" applyBorder="1" applyAlignment="1">
      <alignment vertical="center"/>
    </xf>
    <xf numFmtId="1" fontId="22" fillId="0" borderId="12" xfId="3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9" xfId="0" applyBorder="1" applyAlignment="1">
      <alignment vertical="center"/>
    </xf>
    <xf numFmtId="1" fontId="19" fillId="0" borderId="31" xfId="3" applyNumberFormat="1" applyFont="1" applyBorder="1" applyAlignment="1">
      <alignment horizontal="center" vertical="center"/>
    </xf>
    <xf numFmtId="165" fontId="28" fillId="0" borderId="1" xfId="3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165" fontId="19" fillId="2" borderId="4" xfId="3" applyNumberFormat="1" applyFont="1" applyFill="1" applyBorder="1" applyAlignment="1">
      <alignment horizontal="center" vertical="center"/>
    </xf>
    <xf numFmtId="165" fontId="22" fillId="0" borderId="1" xfId="3" applyFont="1" applyFill="1" applyBorder="1" applyAlignment="1">
      <alignment horizontal="center" vertical="center"/>
    </xf>
    <xf numFmtId="165" fontId="27" fillId="0" borderId="0" xfId="3" applyFont="1" applyAlignment="1">
      <alignment vertical="center"/>
    </xf>
    <xf numFmtId="43" fontId="22" fillId="0" borderId="0" xfId="0" applyNumberFormat="1" applyFont="1" applyAlignment="1">
      <alignment vertical="center"/>
    </xf>
    <xf numFmtId="0" fontId="22" fillId="3" borderId="1" xfId="0" applyFont="1" applyFill="1" applyBorder="1" applyAlignment="1">
      <alignment horizontal="center" vertical="center"/>
    </xf>
    <xf numFmtId="165" fontId="22" fillId="3" borderId="2" xfId="3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165" fontId="22" fillId="3" borderId="1" xfId="3" applyFont="1" applyFill="1" applyBorder="1" applyAlignment="1">
      <alignment horizontal="center" vertical="center"/>
    </xf>
    <xf numFmtId="1" fontId="22" fillId="3" borderId="1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vertical="center"/>
    </xf>
    <xf numFmtId="165" fontId="22" fillId="3" borderId="0" xfId="3" applyFont="1" applyFill="1" applyAlignment="1">
      <alignment vertical="center"/>
    </xf>
    <xf numFmtId="0" fontId="22" fillId="0" borderId="0" xfId="0" applyFont="1" applyAlignment="1">
      <alignment horizontal="right" vertical="center"/>
    </xf>
    <xf numFmtId="166" fontId="22" fillId="0" borderId="1" xfId="3" applyNumberFormat="1" applyFont="1" applyBorder="1" applyAlignment="1">
      <alignment horizontal="center" vertical="center"/>
    </xf>
    <xf numFmtId="165" fontId="22" fillId="3" borderId="1" xfId="3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4" fontId="22" fillId="3" borderId="2" xfId="0" applyNumberFormat="1" applyFont="1" applyFill="1" applyBorder="1" applyAlignment="1">
      <alignment horizontal="center" vertical="center"/>
    </xf>
    <xf numFmtId="167" fontId="22" fillId="3" borderId="2" xfId="3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/>
    </xf>
    <xf numFmtId="13" fontId="22" fillId="3" borderId="1" xfId="0" applyNumberFormat="1" applyFont="1" applyFill="1" applyBorder="1" applyAlignment="1">
      <alignment horizontal="center" vertical="center"/>
    </xf>
    <xf numFmtId="166" fontId="22" fillId="0" borderId="1" xfId="3" applyNumberFormat="1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165" fontId="19" fillId="0" borderId="1" xfId="3" applyFont="1" applyBorder="1" applyAlignment="1">
      <alignment horizontal="center" vertical="center"/>
    </xf>
    <xf numFmtId="165" fontId="22" fillId="0" borderId="2" xfId="3" applyFont="1" applyFill="1" applyBorder="1" applyAlignment="1">
      <alignment horizontal="center" vertical="center"/>
    </xf>
    <xf numFmtId="0" fontId="24" fillId="0" borderId="0" xfId="1" applyAlignment="1" applyProtection="1">
      <alignment vertical="center"/>
    </xf>
    <xf numFmtId="0" fontId="19" fillId="0" borderId="0" xfId="0" applyFont="1"/>
    <xf numFmtId="0" fontId="29" fillId="2" borderId="32" xfId="0" applyFont="1" applyFill="1" applyBorder="1" applyAlignment="1">
      <alignment horizontal="center" vertical="center"/>
    </xf>
    <xf numFmtId="0" fontId="29" fillId="2" borderId="33" xfId="0" applyFont="1" applyFill="1" applyBorder="1" applyAlignment="1">
      <alignment horizontal="center" vertical="center"/>
    </xf>
    <xf numFmtId="165" fontId="29" fillId="2" borderId="33" xfId="3" applyFont="1" applyFill="1" applyBorder="1" applyAlignment="1">
      <alignment horizontal="center" vertical="center"/>
    </xf>
    <xf numFmtId="165" fontId="22" fillId="0" borderId="0" xfId="3" applyFont="1" applyFill="1" applyAlignment="1">
      <alignment vertical="center"/>
    </xf>
    <xf numFmtId="165" fontId="19" fillId="0" borderId="1" xfId="3" applyFont="1" applyFill="1" applyBorder="1" applyAlignment="1">
      <alignment horizontal="center" vertical="center"/>
    </xf>
    <xf numFmtId="164" fontId="19" fillId="0" borderId="34" xfId="0" applyNumberFormat="1" applyFont="1" applyBorder="1" applyAlignment="1">
      <alignment vertical="center"/>
    </xf>
    <xf numFmtId="165" fontId="19" fillId="0" borderId="35" xfId="3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165" fontId="19" fillId="0" borderId="0" xfId="3" applyFont="1" applyAlignment="1">
      <alignment horizontal="center" vertical="center"/>
    </xf>
    <xf numFmtId="165" fontId="19" fillId="0" borderId="3" xfId="3" applyFont="1" applyBorder="1" applyAlignment="1">
      <alignment horizontal="center" vertical="center"/>
    </xf>
    <xf numFmtId="2" fontId="22" fillId="0" borderId="1" xfId="3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65" fontId="22" fillId="0" borderId="0" xfId="3" applyFont="1" applyAlignment="1">
      <alignment horizontal="right" vertical="center"/>
    </xf>
    <xf numFmtId="165" fontId="19" fillId="2" borderId="7" xfId="3" applyFont="1" applyFill="1" applyBorder="1" applyAlignment="1">
      <alignment horizontal="center" vertical="center"/>
    </xf>
    <xf numFmtId="165" fontId="19" fillId="0" borderId="14" xfId="3" applyFont="1" applyBorder="1" applyAlignment="1">
      <alignment vertical="center"/>
    </xf>
    <xf numFmtId="165" fontId="19" fillId="0" borderId="9" xfId="0" applyNumberFormat="1" applyFont="1" applyBorder="1" applyAlignment="1">
      <alignment vertical="center"/>
    </xf>
    <xf numFmtId="165" fontId="19" fillId="0" borderId="9" xfId="3" applyFont="1" applyBorder="1" applyAlignment="1">
      <alignment vertical="center"/>
    </xf>
    <xf numFmtId="10" fontId="19" fillId="0" borderId="15" xfId="2" applyNumberFormat="1" applyFont="1" applyBorder="1" applyAlignment="1">
      <alignment vertical="center"/>
    </xf>
    <xf numFmtId="165" fontId="19" fillId="0" borderId="38" xfId="3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5" fontId="22" fillId="0" borderId="39" xfId="3" applyFont="1" applyBorder="1" applyAlignment="1">
      <alignment vertical="center"/>
    </xf>
    <xf numFmtId="165" fontId="22" fillId="0" borderId="40" xfId="3" applyFont="1" applyBorder="1" applyAlignment="1">
      <alignment vertical="center"/>
    </xf>
    <xf numFmtId="165" fontId="22" fillId="0" borderId="41" xfId="3" applyFont="1" applyBorder="1" applyAlignment="1">
      <alignment vertical="center"/>
    </xf>
    <xf numFmtId="0" fontId="22" fillId="0" borderId="41" xfId="0" applyFont="1" applyBorder="1" applyAlignment="1">
      <alignment vertical="center"/>
    </xf>
    <xf numFmtId="1" fontId="22" fillId="0" borderId="37" xfId="3" applyNumberFormat="1" applyFont="1" applyBorder="1" applyAlignment="1">
      <alignment horizontal="center" vertical="center"/>
    </xf>
    <xf numFmtId="165" fontId="19" fillId="0" borderId="14" xfId="3" applyFont="1" applyBorder="1" applyAlignment="1">
      <alignment horizontal="left" vertical="center"/>
    </xf>
    <xf numFmtId="4" fontId="19" fillId="0" borderId="9" xfId="0" applyNumberFormat="1" applyFont="1" applyBorder="1" applyAlignment="1">
      <alignment horizontal="centerContinuous" vertical="center"/>
    </xf>
    <xf numFmtId="0" fontId="17" fillId="0" borderId="0" xfId="0" applyFont="1" applyBorder="1" applyAlignment="1">
      <alignment vertical="center"/>
    </xf>
    <xf numFmtId="4" fontId="0" fillId="0" borderId="0" xfId="0" applyNumberForma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5" fontId="22" fillId="6" borderId="1" xfId="3" applyFont="1" applyFill="1" applyBorder="1" applyAlignment="1">
      <alignment horizontal="center" vertical="center"/>
    </xf>
    <xf numFmtId="165" fontId="22" fillId="6" borderId="1" xfId="3" applyFont="1" applyFill="1" applyBorder="1" applyAlignment="1">
      <alignment vertical="center"/>
    </xf>
    <xf numFmtId="9" fontId="19" fillId="0" borderId="18" xfId="2" applyFont="1" applyBorder="1" applyAlignment="1">
      <alignment vertical="center"/>
    </xf>
    <xf numFmtId="10" fontId="22" fillId="0" borderId="15" xfId="2" applyNumberFormat="1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165" fontId="22" fillId="0" borderId="1" xfId="0" applyNumberFormat="1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0" fillId="0" borderId="38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165" fontId="0" fillId="0" borderId="0" xfId="3" applyFont="1" applyFill="1" applyBorder="1" applyAlignment="1">
      <alignment vertical="center"/>
    </xf>
    <xf numFmtId="165" fontId="0" fillId="0" borderId="39" xfId="3" applyFont="1" applyFill="1" applyBorder="1" applyAlignment="1">
      <alignment vertical="center"/>
    </xf>
    <xf numFmtId="0" fontId="22" fillId="0" borderId="1" xfId="0" applyNumberFormat="1" applyFont="1" applyBorder="1" applyAlignment="1">
      <alignment horizontal="center" vertical="center"/>
    </xf>
    <xf numFmtId="166" fontId="19" fillId="0" borderId="0" xfId="3" applyNumberFormat="1" applyFont="1" applyBorder="1" applyAlignment="1">
      <alignment horizontal="center" vertical="center"/>
    </xf>
    <xf numFmtId="0" fontId="32" fillId="0" borderId="14" xfId="0" applyFont="1" applyBorder="1"/>
    <xf numFmtId="0" fontId="22" fillId="0" borderId="0" xfId="0" applyFont="1" applyBorder="1"/>
    <xf numFmtId="0" fontId="32" fillId="0" borderId="47" xfId="0" applyFont="1" applyBorder="1"/>
    <xf numFmtId="0" fontId="32" fillId="3" borderId="20" xfId="0" applyFont="1" applyFill="1" applyBorder="1"/>
    <xf numFmtId="0" fontId="32" fillId="0" borderId="23" xfId="0" applyFont="1" applyBorder="1"/>
    <xf numFmtId="0" fontId="32" fillId="0" borderId="48" xfId="0" applyFont="1" applyBorder="1"/>
    <xf numFmtId="0" fontId="32" fillId="0" borderId="20" xfId="0" applyFont="1" applyBorder="1"/>
    <xf numFmtId="0" fontId="32" fillId="0" borderId="28" xfId="0" applyFont="1" applyBorder="1"/>
    <xf numFmtId="2" fontId="33" fillId="7" borderId="1" xfId="0" applyNumberFormat="1" applyFont="1" applyFill="1" applyBorder="1" applyAlignment="1">
      <alignment horizontal="right" vertical="center"/>
    </xf>
    <xf numFmtId="0" fontId="33" fillId="0" borderId="23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2" fontId="33" fillId="7" borderId="36" xfId="0" applyNumberFormat="1" applyFont="1" applyFill="1" applyBorder="1" applyAlignment="1">
      <alignment horizontal="right" vertical="center"/>
    </xf>
    <xf numFmtId="0" fontId="33" fillId="0" borderId="23" xfId="0" applyFont="1" applyBorder="1" applyAlignment="1">
      <alignment horizontal="left" vertical="center"/>
    </xf>
    <xf numFmtId="0" fontId="33" fillId="0" borderId="1" xfId="0" applyFont="1" applyBorder="1" applyAlignment="1">
      <alignment horizontal="left" vertical="center"/>
    </xf>
    <xf numFmtId="0" fontId="33" fillId="0" borderId="20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10" fontId="33" fillId="0" borderId="20" xfId="0" applyNumberFormat="1" applyFont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10" fontId="37" fillId="0" borderId="20" xfId="0" applyNumberFormat="1" applyFont="1" applyBorder="1" applyAlignment="1">
      <alignment horizontal="right" vertical="center"/>
    </xf>
    <xf numFmtId="0" fontId="33" fillId="5" borderId="23" xfId="0" applyFont="1" applyFill="1" applyBorder="1" applyAlignment="1">
      <alignment horizontal="left" vertical="center"/>
    </xf>
    <xf numFmtId="0" fontId="37" fillId="5" borderId="1" xfId="0" applyFont="1" applyFill="1" applyBorder="1" applyAlignment="1">
      <alignment horizontal="left" vertical="center"/>
    </xf>
    <xf numFmtId="10" fontId="37" fillId="5" borderId="20" xfId="0" applyNumberFormat="1" applyFont="1" applyFill="1" applyBorder="1" applyAlignment="1">
      <alignment horizontal="right" vertical="center"/>
    </xf>
    <xf numFmtId="0" fontId="38" fillId="0" borderId="1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10" fontId="22" fillId="0" borderId="0" xfId="0" applyNumberFormat="1" applyFont="1"/>
    <xf numFmtId="9" fontId="33" fillId="0" borderId="0" xfId="2" applyFont="1" applyBorder="1" applyAlignment="1">
      <alignment horizontal="right" vertical="center"/>
    </xf>
    <xf numFmtId="10" fontId="22" fillId="0" borderId="0" xfId="0" applyNumberFormat="1" applyFont="1" applyBorder="1"/>
    <xf numFmtId="0" fontId="33" fillId="0" borderId="1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/>
    </xf>
    <xf numFmtId="0" fontId="33" fillId="9" borderId="24" xfId="0" applyFont="1" applyFill="1" applyBorder="1" applyAlignment="1">
      <alignment horizontal="left" vertical="center"/>
    </xf>
    <xf numFmtId="0" fontId="37" fillId="9" borderId="36" xfId="0" applyFont="1" applyFill="1" applyBorder="1" applyAlignment="1">
      <alignment horizontal="left" vertical="center"/>
    </xf>
    <xf numFmtId="10" fontId="37" fillId="9" borderId="37" xfId="0" applyNumberFormat="1" applyFont="1" applyFill="1" applyBorder="1" applyAlignment="1">
      <alignment horizontal="right" vertical="center"/>
    </xf>
    <xf numFmtId="0" fontId="37" fillId="0" borderId="0" xfId="0" applyFont="1" applyFill="1" applyBorder="1" applyAlignment="1">
      <alignment horizontal="left" vertical="center"/>
    </xf>
    <xf numFmtId="10" fontId="37" fillId="0" borderId="0" xfId="0" applyNumberFormat="1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left" vertical="center"/>
    </xf>
    <xf numFmtId="10" fontId="33" fillId="0" borderId="0" xfId="0" applyNumberFormat="1" applyFont="1" applyFill="1" applyBorder="1" applyAlignment="1">
      <alignment horizontal="right" vertical="center"/>
    </xf>
    <xf numFmtId="0" fontId="33" fillId="4" borderId="0" xfId="0" applyFont="1" applyFill="1" applyBorder="1" applyAlignment="1">
      <alignment horizontal="left" vertical="center"/>
    </xf>
    <xf numFmtId="10" fontId="33" fillId="0" borderId="0" xfId="0" applyNumberFormat="1" applyFont="1" applyBorder="1" applyAlignment="1">
      <alignment horizontal="right" vertical="center"/>
    </xf>
    <xf numFmtId="0" fontId="37" fillId="0" borderId="0" xfId="0" applyFont="1" applyBorder="1" applyAlignment="1">
      <alignment horizontal="left" vertical="center"/>
    </xf>
    <xf numFmtId="10" fontId="37" fillId="0" borderId="0" xfId="0" applyNumberFormat="1" applyFont="1" applyBorder="1" applyAlignment="1">
      <alignment horizontal="right" vertical="center"/>
    </xf>
    <xf numFmtId="0" fontId="40" fillId="0" borderId="0" xfId="0" applyFont="1" applyBorder="1" applyAlignment="1">
      <alignment horizontal="justify" vertical="center"/>
    </xf>
    <xf numFmtId="0" fontId="24" fillId="0" borderId="0" xfId="1" applyFont="1" applyBorder="1" applyAlignment="1" applyProtection="1">
      <alignment horizontal="left" vertical="center"/>
    </xf>
    <xf numFmtId="0" fontId="41" fillId="0" borderId="0" xfId="0" applyFont="1" applyBorder="1"/>
    <xf numFmtId="0" fontId="33" fillId="0" borderId="0" xfId="0" applyFont="1" applyBorder="1" applyAlignment="1">
      <alignment horizontal="right" vertical="center"/>
    </xf>
    <xf numFmtId="0" fontId="24" fillId="0" borderId="0" xfId="1" applyFont="1" applyBorder="1" applyAlignment="1" applyProtection="1">
      <alignment vertical="center"/>
    </xf>
    <xf numFmtId="0" fontId="21" fillId="0" borderId="15" xfId="0" applyFont="1" applyBorder="1"/>
    <xf numFmtId="0" fontId="21" fillId="0" borderId="23" xfId="0" applyFont="1" applyBorder="1"/>
    <xf numFmtId="0" fontId="21" fillId="3" borderId="20" xfId="0" applyFont="1" applyFill="1" applyBorder="1"/>
    <xf numFmtId="0" fontId="21" fillId="0" borderId="47" xfId="0" applyFont="1" applyBorder="1"/>
    <xf numFmtId="0" fontId="21" fillId="3" borderId="48" xfId="0" applyFont="1" applyFill="1" applyBorder="1"/>
    <xf numFmtId="0" fontId="21" fillId="0" borderId="49" xfId="0" applyFont="1" applyBorder="1"/>
    <xf numFmtId="0" fontId="21" fillId="3" borderId="50" xfId="0" applyFont="1" applyFill="1" applyBorder="1"/>
    <xf numFmtId="0" fontId="21" fillId="0" borderId="38" xfId="0" applyFont="1" applyBorder="1"/>
    <xf numFmtId="0" fontId="21" fillId="0" borderId="39" xfId="0" applyFont="1" applyBorder="1"/>
    <xf numFmtId="0" fontId="23" fillId="0" borderId="48" xfId="0" applyFont="1" applyBorder="1"/>
    <xf numFmtId="0" fontId="23" fillId="0" borderId="38" xfId="0" applyFont="1" applyFill="1" applyBorder="1" applyAlignment="1">
      <alignment horizontal="left" vertical="center"/>
    </xf>
    <xf numFmtId="0" fontId="21" fillId="0" borderId="0" xfId="0" applyFont="1" applyBorder="1"/>
    <xf numFmtId="9" fontId="21" fillId="0" borderId="23" xfId="2" applyFont="1" applyBorder="1"/>
    <xf numFmtId="9" fontId="21" fillId="0" borderId="1" xfId="2" applyFont="1" applyBorder="1" applyAlignment="1">
      <alignment horizontal="center"/>
    </xf>
    <xf numFmtId="9" fontId="21" fillId="0" borderId="20" xfId="2" applyFont="1" applyBorder="1"/>
    <xf numFmtId="0" fontId="21" fillId="0" borderId="21" xfId="0" applyFont="1" applyFill="1" applyBorder="1" applyAlignment="1">
      <alignment horizontal="left" vertical="center"/>
    </xf>
    <xf numFmtId="0" fontId="21" fillId="0" borderId="22" xfId="0" applyFont="1" applyFill="1" applyBorder="1" applyAlignment="1">
      <alignment horizontal="center" vertical="center"/>
    </xf>
    <xf numFmtId="10" fontId="21" fillId="3" borderId="12" xfId="0" applyNumberFormat="1" applyFont="1" applyFill="1" applyBorder="1" applyAlignment="1">
      <alignment horizontal="center" vertical="center"/>
    </xf>
    <xf numFmtId="10" fontId="21" fillId="0" borderId="20" xfId="2" applyNumberFormat="1" applyFont="1" applyBorder="1"/>
    <xf numFmtId="0" fontId="21" fillId="0" borderId="23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center" vertical="center"/>
    </xf>
    <xf numFmtId="10" fontId="21" fillId="3" borderId="20" xfId="0" applyNumberFormat="1" applyFont="1" applyFill="1" applyBorder="1" applyAlignment="1">
      <alignment horizontal="center" vertical="center"/>
    </xf>
    <xf numFmtId="10" fontId="21" fillId="0" borderId="20" xfId="0" applyNumberFormat="1" applyFont="1" applyFill="1" applyBorder="1" applyAlignment="1">
      <alignment horizontal="center" vertical="center"/>
    </xf>
    <xf numFmtId="10" fontId="21" fillId="3" borderId="1" xfId="2" applyNumberFormat="1" applyFont="1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21" fillId="0" borderId="20" xfId="0" applyFont="1" applyBorder="1"/>
    <xf numFmtId="0" fontId="21" fillId="0" borderId="24" xfId="0" applyFont="1" applyFill="1" applyBorder="1" applyAlignment="1">
      <alignment horizontal="left" vertical="center"/>
    </xf>
    <xf numFmtId="10" fontId="21" fillId="3" borderId="37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25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/>
    </xf>
    <xf numFmtId="10" fontId="21" fillId="0" borderId="27" xfId="0" applyNumberFormat="1" applyFont="1" applyFill="1" applyBorder="1" applyAlignment="1">
      <alignment vertical="center"/>
    </xf>
    <xf numFmtId="0" fontId="21" fillId="0" borderId="28" xfId="0" applyFont="1" applyFill="1" applyBorder="1" applyAlignment="1">
      <alignment horizontal="left" vertical="center"/>
    </xf>
    <xf numFmtId="0" fontId="21" fillId="0" borderId="29" xfId="0" applyFont="1" applyFill="1" applyBorder="1" applyAlignment="1">
      <alignment horizontal="left" vertical="center"/>
    </xf>
    <xf numFmtId="0" fontId="21" fillId="0" borderId="30" xfId="0" applyFont="1" applyFill="1" applyBorder="1" applyAlignment="1">
      <alignment vertical="center"/>
    </xf>
    <xf numFmtId="0" fontId="23" fillId="5" borderId="5" xfId="0" applyFont="1" applyFill="1" applyBorder="1" applyAlignment="1">
      <alignment vertical="center" wrapText="1"/>
    </xf>
    <xf numFmtId="0" fontId="21" fillId="5" borderId="6" xfId="0" applyFont="1" applyFill="1" applyBorder="1" applyAlignment="1">
      <alignment vertical="center"/>
    </xf>
    <xf numFmtId="10" fontId="23" fillId="5" borderId="7" xfId="0" applyNumberFormat="1" applyFont="1" applyFill="1" applyBorder="1" applyAlignment="1">
      <alignment horizontal="center" vertical="center" wrapText="1"/>
    </xf>
    <xf numFmtId="10" fontId="21" fillId="0" borderId="23" xfId="2" applyNumberFormat="1" applyFont="1" applyBorder="1" applyAlignment="1">
      <alignment horizontal="right"/>
    </xf>
    <xf numFmtId="10" fontId="21" fillId="0" borderId="1" xfId="2" applyNumberFormat="1" applyFont="1" applyBorder="1" applyAlignment="1">
      <alignment horizontal="right"/>
    </xf>
    <xf numFmtId="10" fontId="21" fillId="0" borderId="20" xfId="2" applyNumberFormat="1" applyFont="1" applyBorder="1" applyAlignment="1">
      <alignment horizontal="right"/>
    </xf>
    <xf numFmtId="10" fontId="21" fillId="0" borderId="24" xfId="2" applyNumberFormat="1" applyFont="1" applyBorder="1" applyAlignment="1">
      <alignment horizontal="right"/>
    </xf>
    <xf numFmtId="10" fontId="21" fillId="0" borderId="36" xfId="2" applyNumberFormat="1" applyFont="1" applyBorder="1" applyAlignment="1">
      <alignment horizontal="right"/>
    </xf>
    <xf numFmtId="10" fontId="21" fillId="0" borderId="37" xfId="2" applyNumberFormat="1" applyFont="1" applyBorder="1" applyAlignment="1">
      <alignment horizontal="right"/>
    </xf>
    <xf numFmtId="0" fontId="22" fillId="0" borderId="52" xfId="0" applyFont="1" applyBorder="1"/>
    <xf numFmtId="0" fontId="34" fillId="0" borderId="52" xfId="0" applyFont="1" applyBorder="1" applyAlignment="1">
      <alignment horizontal="justify"/>
    </xf>
    <xf numFmtId="0" fontId="34" fillId="0" borderId="53" xfId="0" applyFont="1" applyBorder="1" applyAlignment="1">
      <alignment horizontal="justify"/>
    </xf>
    <xf numFmtId="0" fontId="31" fillId="10" borderId="51" xfId="0" applyFont="1" applyFill="1" applyBorder="1" applyAlignment="1">
      <alignment horizontal="center"/>
    </xf>
    <xf numFmtId="1" fontId="22" fillId="0" borderId="0" xfId="3" applyNumberFormat="1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165" fontId="22" fillId="3" borderId="9" xfId="3" applyNumberFormat="1" applyFont="1" applyFill="1" applyBorder="1" applyAlignment="1">
      <alignment vertical="center"/>
    </xf>
    <xf numFmtId="165" fontId="22" fillId="0" borderId="10" xfId="3" applyFont="1" applyBorder="1" applyAlignment="1">
      <alignment vertical="center"/>
    </xf>
    <xf numFmtId="165" fontId="19" fillId="0" borderId="7" xfId="3" applyFont="1" applyBorder="1" applyAlignment="1">
      <alignment horizontal="right" vertical="center"/>
    </xf>
    <xf numFmtId="165" fontId="19" fillId="2" borderId="4" xfId="3" applyFont="1" applyFill="1" applyBorder="1" applyAlignment="1">
      <alignment horizontal="right" vertical="center"/>
    </xf>
    <xf numFmtId="168" fontId="19" fillId="0" borderId="1" xfId="0" applyNumberFormat="1" applyFon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8" fontId="19" fillId="0" borderId="36" xfId="0" applyNumberFormat="1" applyFont="1" applyBorder="1" applyAlignment="1">
      <alignment vertical="center"/>
    </xf>
    <xf numFmtId="165" fontId="19" fillId="0" borderId="11" xfId="3" applyFont="1" applyBorder="1" applyAlignment="1">
      <alignment vertical="center"/>
    </xf>
    <xf numFmtId="165" fontId="19" fillId="0" borderId="5" xfId="3" applyFont="1" applyBorder="1" applyAlignment="1">
      <alignment vertical="center"/>
    </xf>
    <xf numFmtId="0" fontId="20" fillId="0" borderId="3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39" xfId="0" applyFont="1" applyFill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65" fontId="19" fillId="0" borderId="9" xfId="3" applyFont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 wrapText="1"/>
    </xf>
    <xf numFmtId="167" fontId="22" fillId="0" borderId="1" xfId="3" applyNumberFormat="1" applyFont="1" applyBorder="1" applyAlignment="1">
      <alignment horizontal="center" vertical="center"/>
    </xf>
    <xf numFmtId="166" fontId="19" fillId="0" borderId="1" xfId="3" applyNumberFormat="1" applyFont="1" applyBorder="1" applyAlignment="1">
      <alignment horizontal="center" vertical="center"/>
    </xf>
    <xf numFmtId="167" fontId="19" fillId="0" borderId="1" xfId="3" applyNumberFormat="1" applyFont="1" applyBorder="1" applyAlignment="1">
      <alignment horizontal="center" vertical="center"/>
    </xf>
    <xf numFmtId="167" fontId="22" fillId="0" borderId="2" xfId="3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7" fillId="0" borderId="0" xfId="0" applyFont="1"/>
    <xf numFmtId="0" fontId="19" fillId="0" borderId="54" xfId="0" applyFont="1" applyBorder="1" applyAlignment="1">
      <alignment vertical="center"/>
    </xf>
    <xf numFmtId="0" fontId="19" fillId="0" borderId="54" xfId="0" applyFont="1" applyBorder="1" applyAlignment="1">
      <alignment horizontal="center" vertical="center"/>
    </xf>
    <xf numFmtId="165" fontId="19" fillId="0" borderId="54" xfId="3" applyFont="1" applyBorder="1" applyAlignment="1">
      <alignment horizontal="center" vertical="center"/>
    </xf>
    <xf numFmtId="165" fontId="19" fillId="0" borderId="54" xfId="3" applyFont="1" applyFill="1" applyBorder="1" applyAlignment="1">
      <alignment horizontal="center" vertical="center"/>
    </xf>
    <xf numFmtId="0" fontId="21" fillId="0" borderId="23" xfId="0" applyFont="1" applyBorder="1" applyAlignment="1">
      <alignment horizontal="right"/>
    </xf>
    <xf numFmtId="0" fontId="20" fillId="0" borderId="0" xfId="0" applyFont="1" applyAlignment="1">
      <alignment vertical="center"/>
    </xf>
    <xf numFmtId="4" fontId="43" fillId="0" borderId="0" xfId="0" applyNumberFormat="1" applyFont="1" applyBorder="1" applyAlignment="1">
      <alignment vertical="center"/>
    </xf>
    <xf numFmtId="4" fontId="44" fillId="0" borderId="0" xfId="0" applyNumberFormat="1" applyFont="1" applyBorder="1" applyAlignment="1">
      <alignment vertical="center"/>
    </xf>
    <xf numFmtId="0" fontId="21" fillId="0" borderId="20" xfId="0" applyFont="1" applyFill="1" applyBorder="1"/>
    <xf numFmtId="0" fontId="42" fillId="0" borderId="0" xfId="0" applyFont="1"/>
    <xf numFmtId="0" fontId="17" fillId="0" borderId="2" xfId="0" applyFont="1" applyBorder="1" applyAlignment="1">
      <alignment vertical="center"/>
    </xf>
    <xf numFmtId="169" fontId="23" fillId="0" borderId="20" xfId="0" applyNumberFormat="1" applyFont="1" applyBorder="1"/>
    <xf numFmtId="9" fontId="32" fillId="0" borderId="20" xfId="2" applyFont="1" applyBorder="1"/>
    <xf numFmtId="10" fontId="32" fillId="0" borderId="20" xfId="2" applyNumberFormat="1" applyFont="1" applyBorder="1"/>
    <xf numFmtId="9" fontId="23" fillId="0" borderId="31" xfId="2" applyFont="1" applyBorder="1"/>
    <xf numFmtId="0" fontId="21" fillId="0" borderId="55" xfId="0" applyFont="1" applyBorder="1"/>
    <xf numFmtId="165" fontId="17" fillId="3" borderId="2" xfId="3" applyFont="1" applyFill="1" applyBorder="1" applyAlignment="1">
      <alignment horizontal="center" vertical="center"/>
    </xf>
    <xf numFmtId="10" fontId="19" fillId="3" borderId="7" xfId="2" applyNumberFormat="1" applyFont="1" applyFill="1" applyBorder="1" applyAlignment="1">
      <alignment vertical="center"/>
    </xf>
    <xf numFmtId="172" fontId="22" fillId="0" borderId="1" xfId="3" applyNumberFormat="1" applyFont="1" applyBorder="1" applyAlignment="1">
      <alignment vertical="center"/>
    </xf>
    <xf numFmtId="0" fontId="46" fillId="0" borderId="0" xfId="25" applyFont="1"/>
    <xf numFmtId="0" fontId="15" fillId="0" borderId="0" xfId="25"/>
    <xf numFmtId="0" fontId="46" fillId="0" borderId="1" xfId="25" applyFont="1" applyBorder="1"/>
    <xf numFmtId="0" fontId="46" fillId="0" borderId="1" xfId="25" applyFont="1" applyBorder="1" applyAlignment="1">
      <alignment horizontal="center"/>
    </xf>
    <xf numFmtId="20" fontId="46" fillId="0" borderId="1" xfId="25" applyNumberFormat="1" applyFont="1" applyBorder="1"/>
    <xf numFmtId="0" fontId="15" fillId="0" borderId="8" xfId="25" applyBorder="1"/>
    <xf numFmtId="0" fontId="15" fillId="0" borderId="9" xfId="25" applyBorder="1"/>
    <xf numFmtId="0" fontId="15" fillId="0" borderId="1" xfId="25" applyBorder="1"/>
    <xf numFmtId="0" fontId="15" fillId="0" borderId="8" xfId="25" applyFont="1" applyBorder="1"/>
    <xf numFmtId="0" fontId="46" fillId="0" borderId="8" xfId="25" applyFont="1" applyBorder="1"/>
    <xf numFmtId="0" fontId="46" fillId="0" borderId="9" xfId="25" applyFont="1" applyBorder="1"/>
    <xf numFmtId="10" fontId="46" fillId="0" borderId="1" xfId="2" applyNumberFormat="1" applyFont="1" applyBorder="1"/>
    <xf numFmtId="165" fontId="15" fillId="0" borderId="0" xfId="3" applyFont="1"/>
    <xf numFmtId="165" fontId="0" fillId="3" borderId="1" xfId="3" applyFont="1" applyFill="1" applyBorder="1"/>
    <xf numFmtId="13" fontId="17" fillId="3" borderId="1" xfId="0" applyNumberFormat="1" applyFont="1" applyFill="1" applyBorder="1" applyAlignment="1">
      <alignment vertical="center"/>
    </xf>
    <xf numFmtId="13" fontId="17" fillId="0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165" fontId="15" fillId="0" borderId="1" xfId="3" applyFont="1" applyBorder="1"/>
    <xf numFmtId="13" fontId="22" fillId="3" borderId="1" xfId="0" applyNumberFormat="1" applyFont="1" applyFill="1" applyBorder="1" applyAlignment="1">
      <alignment vertical="center"/>
    </xf>
    <xf numFmtId="165" fontId="46" fillId="0" borderId="1" xfId="3" applyFont="1" applyBorder="1"/>
    <xf numFmtId="165" fontId="22" fillId="0" borderId="0" xfId="0" applyNumberFormat="1" applyFont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47" fillId="0" borderId="0" xfId="4" applyFont="1"/>
    <xf numFmtId="4" fontId="22" fillId="3" borderId="1" xfId="0" applyNumberFormat="1" applyFont="1" applyFill="1" applyBorder="1" applyAlignment="1">
      <alignment vertical="center"/>
    </xf>
    <xf numFmtId="165" fontId="17" fillId="0" borderId="0" xfId="3" applyFont="1" applyAlignment="1">
      <alignment vertical="center"/>
    </xf>
    <xf numFmtId="165" fontId="17" fillId="0" borderId="1" xfId="3" applyFont="1" applyBorder="1" applyAlignment="1">
      <alignment horizontal="center" vertical="center"/>
    </xf>
    <xf numFmtId="165" fontId="17" fillId="0" borderId="0" xfId="3" applyFont="1" applyAlignment="1">
      <alignment horizontal="right" vertical="center"/>
    </xf>
    <xf numFmtId="166" fontId="17" fillId="0" borderId="1" xfId="3" applyNumberFormat="1" applyFont="1" applyBorder="1" applyAlignment="1">
      <alignment horizontal="center" vertical="center"/>
    </xf>
    <xf numFmtId="165" fontId="17" fillId="3" borderId="1" xfId="3" applyFont="1" applyFill="1" applyBorder="1" applyAlignment="1">
      <alignment horizontal="center" vertical="center"/>
    </xf>
    <xf numFmtId="167" fontId="17" fillId="0" borderId="1" xfId="3" applyNumberFormat="1" applyFont="1" applyBorder="1" applyAlignment="1">
      <alignment horizontal="center" vertical="center"/>
    </xf>
    <xf numFmtId="0" fontId="46" fillId="0" borderId="1" xfId="8" applyFont="1" applyBorder="1"/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5" fontId="0" fillId="0" borderId="1" xfId="3" applyFont="1" applyBorder="1"/>
    <xf numFmtId="0" fontId="19" fillId="0" borderId="1" xfId="0" applyFont="1" applyBorder="1"/>
    <xf numFmtId="165" fontId="19" fillId="0" borderId="1" xfId="0" applyNumberFormat="1" applyFont="1" applyBorder="1"/>
    <xf numFmtId="165" fontId="19" fillId="0" borderId="1" xfId="3" applyFont="1" applyBorder="1"/>
    <xf numFmtId="0" fontId="17" fillId="0" borderId="1" xfId="0" applyFont="1" applyBorder="1"/>
    <xf numFmtId="43" fontId="0" fillId="3" borderId="1" xfId="0" applyNumberFormat="1" applyFill="1" applyBorder="1"/>
    <xf numFmtId="0" fontId="17" fillId="3" borderId="1" xfId="0" applyFont="1" applyFill="1" applyBorder="1"/>
    <xf numFmtId="165" fontId="0" fillId="0" borderId="1" xfId="2" applyNumberFormat="1" applyFont="1" applyBorder="1"/>
    <xf numFmtId="165" fontId="0" fillId="0" borderId="0" xfId="3" applyFont="1"/>
    <xf numFmtId="165" fontId="0" fillId="0" borderId="0" xfId="0" applyNumberFormat="1"/>
    <xf numFmtId="0" fontId="19" fillId="0" borderId="10" xfId="0" applyFont="1" applyBorder="1" applyAlignment="1">
      <alignment horizontal="center"/>
    </xf>
    <xf numFmtId="43" fontId="0" fillId="0" borderId="10" xfId="0" applyNumberFormat="1" applyBorder="1"/>
    <xf numFmtId="43" fontId="19" fillId="0" borderId="10" xfId="0" applyNumberFormat="1" applyFont="1" applyBorder="1"/>
    <xf numFmtId="0" fontId="0" fillId="0" borderId="10" xfId="0" applyBorder="1"/>
    <xf numFmtId="0" fontId="0" fillId="0" borderId="0" xfId="0" applyBorder="1"/>
    <xf numFmtId="165" fontId="0" fillId="0" borderId="0" xfId="3" applyFont="1" applyBorder="1"/>
    <xf numFmtId="43" fontId="0" fillId="0" borderId="0" xfId="0" applyNumberFormat="1" applyBorder="1"/>
    <xf numFmtId="165" fontId="19" fillId="0" borderId="0" xfId="0" applyNumberFormat="1" applyFont="1" applyBorder="1"/>
    <xf numFmtId="43" fontId="19" fillId="0" borderId="0" xfId="0" applyNumberFormat="1" applyFont="1" applyBorder="1"/>
    <xf numFmtId="0" fontId="17" fillId="0" borderId="0" xfId="0" applyFont="1" applyBorder="1"/>
    <xf numFmtId="0" fontId="46" fillId="0" borderId="1" xfId="8" applyFont="1" applyBorder="1" applyAlignment="1">
      <alignment horizontal="center"/>
    </xf>
    <xf numFmtId="20" fontId="46" fillId="0" borderId="1" xfId="8" applyNumberFormat="1" applyFont="1" applyBorder="1"/>
    <xf numFmtId="174" fontId="15" fillId="0" borderId="0" xfId="25" applyNumberFormat="1"/>
    <xf numFmtId="172" fontId="22" fillId="0" borderId="0" xfId="3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44" fontId="17" fillId="0" borderId="1" xfId="38" applyFont="1" applyBorder="1" applyAlignment="1">
      <alignment vertical="center"/>
    </xf>
    <xf numFmtId="10" fontId="0" fillId="0" borderId="1" xfId="2" applyNumberFormat="1" applyFont="1" applyBorder="1"/>
    <xf numFmtId="172" fontId="22" fillId="0" borderId="0" xfId="3" applyNumberFormat="1" applyFont="1" applyBorder="1" applyAlignment="1">
      <alignment vertical="center"/>
    </xf>
    <xf numFmtId="1" fontId="17" fillId="0" borderId="1" xfId="3" applyNumberFormat="1" applyFont="1" applyFill="1" applyBorder="1" applyAlignment="1">
      <alignment horizontal="center" vertical="center"/>
    </xf>
    <xf numFmtId="44" fontId="17" fillId="3" borderId="1" xfId="6" applyFont="1" applyFill="1" applyBorder="1" applyAlignment="1">
      <alignment horizontal="center" vertical="center"/>
    </xf>
    <xf numFmtId="44" fontId="17" fillId="3" borderId="1" xfId="6" applyFont="1" applyFill="1" applyBorder="1" applyAlignment="1">
      <alignment vertical="center"/>
    </xf>
    <xf numFmtId="0" fontId="18" fillId="0" borderId="56" xfId="0" applyFont="1" applyBorder="1" applyAlignment="1">
      <alignment vertical="center"/>
    </xf>
    <xf numFmtId="44" fontId="19" fillId="2" borderId="4" xfId="6" applyFont="1" applyFill="1" applyBorder="1" applyAlignment="1">
      <alignment vertical="center"/>
    </xf>
    <xf numFmtId="43" fontId="15" fillId="0" borderId="0" xfId="25" applyNumberFormat="1"/>
    <xf numFmtId="13" fontId="22" fillId="3" borderId="1" xfId="0" applyNumberFormat="1" applyFont="1" applyFill="1" applyBorder="1" applyAlignment="1">
      <alignment horizontal="right" vertical="center"/>
    </xf>
    <xf numFmtId="4" fontId="17" fillId="3" borderId="1" xfId="0" applyNumberFormat="1" applyFont="1" applyFill="1" applyBorder="1" applyAlignment="1">
      <alignment horizontal="center" vertical="center"/>
    </xf>
    <xf numFmtId="175" fontId="19" fillId="0" borderId="0" xfId="3" applyNumberFormat="1" applyFont="1" applyAlignment="1">
      <alignment vertical="center"/>
    </xf>
    <xf numFmtId="165" fontId="0" fillId="0" borderId="0" xfId="3" applyFont="1" applyFill="1"/>
    <xf numFmtId="165" fontId="0" fillId="0" borderId="0" xfId="0" applyNumberFormat="1" applyFill="1"/>
    <xf numFmtId="165" fontId="19" fillId="0" borderId="14" xfId="3" applyFont="1" applyBorder="1" applyAlignment="1">
      <alignment horizontal="left" vertical="center"/>
    </xf>
    <xf numFmtId="2" fontId="46" fillId="0" borderId="1" xfId="25" applyNumberFormat="1" applyFont="1" applyBorder="1" applyAlignment="1">
      <alignment horizontal="right"/>
    </xf>
    <xf numFmtId="172" fontId="17" fillId="0" borderId="1" xfId="3" applyNumberFormat="1" applyFont="1" applyBorder="1" applyAlignment="1">
      <alignment vertical="center"/>
    </xf>
    <xf numFmtId="165" fontId="0" fillId="3" borderId="0" xfId="0" applyNumberFormat="1" applyFill="1"/>
    <xf numFmtId="0" fontId="4" fillId="0" borderId="0" xfId="50"/>
    <xf numFmtId="176" fontId="0" fillId="0" borderId="0" xfId="3" applyNumberFormat="1" applyFont="1" applyFill="1"/>
    <xf numFmtId="0" fontId="17" fillId="3" borderId="0" xfId="0" applyFont="1" applyFill="1"/>
    <xf numFmtId="0" fontId="0" fillId="3" borderId="0" xfId="0" applyFill="1"/>
    <xf numFmtId="165" fontId="0" fillId="3" borderId="0" xfId="3" applyFont="1" applyFill="1"/>
    <xf numFmtId="10" fontId="0" fillId="3" borderId="0" xfId="2" applyNumberFormat="1" applyFont="1" applyFill="1"/>
    <xf numFmtId="165" fontId="22" fillId="0" borderId="1" xfId="3" applyNumberFormat="1" applyFont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4" fontId="0" fillId="0" borderId="1" xfId="3" applyNumberFormat="1" applyFont="1" applyBorder="1" applyAlignment="1">
      <alignment horizontal="right"/>
    </xf>
    <xf numFmtId="2" fontId="15" fillId="0" borderId="0" xfId="25" applyNumberFormat="1"/>
    <xf numFmtId="172" fontId="15" fillId="0" borderId="0" xfId="3" applyNumberFormat="1" applyFont="1"/>
    <xf numFmtId="0" fontId="46" fillId="0" borderId="0" xfId="25" applyFont="1" applyBorder="1"/>
    <xf numFmtId="10" fontId="46" fillId="0" borderId="0" xfId="2" applyNumberFormat="1" applyFont="1" applyBorder="1"/>
    <xf numFmtId="177" fontId="15" fillId="0" borderId="1" xfId="25" applyNumberFormat="1" applyBorder="1"/>
    <xf numFmtId="169" fontId="15" fillId="0" borderId="1" xfId="25" applyNumberFormat="1" applyBorder="1"/>
    <xf numFmtId="169" fontId="15" fillId="0" borderId="0" xfId="25" applyNumberFormat="1"/>
    <xf numFmtId="4" fontId="0" fillId="0" borderId="0" xfId="0" applyNumberFormat="1"/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4" fontId="0" fillId="0" borderId="1" xfId="3" applyNumberFormat="1" applyFont="1" applyFill="1" applyBorder="1" applyAlignment="1">
      <alignment horizontal="right"/>
    </xf>
    <xf numFmtId="0" fontId="0" fillId="0" borderId="20" xfId="0" applyFill="1" applyBorder="1"/>
    <xf numFmtId="49" fontId="0" fillId="0" borderId="1" xfId="0" applyNumberFormat="1" applyBorder="1" applyAlignment="1">
      <alignment horizontal="center"/>
    </xf>
    <xf numFmtId="0" fontId="0" fillId="0" borderId="20" xfId="0" applyBorder="1"/>
    <xf numFmtId="4" fontId="0" fillId="0" borderId="0" xfId="0" applyNumberFormat="1" applyBorder="1"/>
    <xf numFmtId="4" fontId="0" fillId="0" borderId="1" xfId="0" applyNumberFormat="1" applyBorder="1"/>
    <xf numFmtId="2" fontId="0" fillId="0" borderId="23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2" fontId="0" fillId="0" borderId="10" xfId="0" applyNumberFormat="1" applyBorder="1"/>
    <xf numFmtId="2" fontId="0" fillId="0" borderId="20" xfId="0" applyNumberFormat="1" applyBorder="1"/>
    <xf numFmtId="2" fontId="0" fillId="0" borderId="0" xfId="0" applyNumberFormat="1" applyBorder="1" applyAlignment="1"/>
    <xf numFmtId="2" fontId="46" fillId="0" borderId="22" xfId="0" applyNumberFormat="1" applyFont="1" applyBorder="1"/>
    <xf numFmtId="2" fontId="46" fillId="0" borderId="12" xfId="0" applyNumberFormat="1" applyFont="1" applyBorder="1"/>
    <xf numFmtId="4" fontId="46" fillId="0" borderId="3" xfId="3" applyNumberFormat="1" applyFont="1" applyBorder="1"/>
    <xf numFmtId="0" fontId="46" fillId="0" borderId="48" xfId="0" applyFont="1" applyFill="1" applyBorder="1"/>
    <xf numFmtId="4" fontId="46" fillId="0" borderId="36" xfId="0" applyNumberFormat="1" applyFont="1" applyBorder="1" applyAlignment="1"/>
    <xf numFmtId="2" fontId="46" fillId="0" borderId="37" xfId="0" applyNumberFormat="1" applyFont="1" applyBorder="1"/>
    <xf numFmtId="0" fontId="0" fillId="0" borderId="0" xfId="0" applyBorder="1" applyAlignment="1"/>
    <xf numFmtId="173" fontId="4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46" fillId="0" borderId="36" xfId="3" applyNumberFormat="1" applyFont="1" applyBorder="1"/>
    <xf numFmtId="0" fontId="46" fillId="0" borderId="37" xfId="0" applyFont="1" applyBorder="1"/>
    <xf numFmtId="0" fontId="0" fillId="0" borderId="25" xfId="0" applyBorder="1" applyAlignment="1"/>
    <xf numFmtId="0" fontId="0" fillId="0" borderId="26" xfId="0" applyBorder="1" applyAlignment="1"/>
    <xf numFmtId="0" fontId="0" fillId="0" borderId="27" xfId="0" applyBorder="1" applyAlignment="1"/>
    <xf numFmtId="4" fontId="46" fillId="0" borderId="58" xfId="0" applyNumberFormat="1" applyFont="1" applyBorder="1" applyAlignment="1"/>
    <xf numFmtId="2" fontId="46" fillId="0" borderId="31" xfId="0" applyNumberFormat="1" applyFont="1" applyBorder="1"/>
    <xf numFmtId="0" fontId="0" fillId="0" borderId="0" xfId="0" quotePrefix="1" applyBorder="1"/>
    <xf numFmtId="2" fontId="46" fillId="0" borderId="17" xfId="0" applyNumberFormat="1" applyFont="1" applyBorder="1"/>
    <xf numFmtId="2" fontId="46" fillId="0" borderId="18" xfId="0" applyNumberFormat="1" applyFont="1" applyBorder="1"/>
    <xf numFmtId="2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7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 applyAlignment="1">
      <alignment vertical="center"/>
    </xf>
    <xf numFmtId="0" fontId="46" fillId="0" borderId="0" xfId="0" applyFont="1" applyBorder="1" applyAlignment="1"/>
    <xf numFmtId="0" fontId="46" fillId="0" borderId="0" xfId="0" applyFont="1" applyBorder="1"/>
    <xf numFmtId="4" fontId="0" fillId="0" borderId="0" xfId="3" applyNumberFormat="1" applyFont="1" applyBorder="1" applyAlignment="1">
      <alignment horizontal="right"/>
    </xf>
    <xf numFmtId="4" fontId="0" fillId="0" borderId="0" xfId="3" applyNumberFormat="1" applyFont="1" applyFill="1" applyBorder="1" applyAlignment="1">
      <alignment horizontal="right"/>
    </xf>
    <xf numFmtId="0" fontId="0" fillId="0" borderId="0" xfId="0" applyFill="1" applyBorder="1"/>
    <xf numFmtId="4" fontId="0" fillId="0" borderId="3" xfId="3" applyNumberFormat="1" applyFont="1" applyBorder="1" applyAlignment="1">
      <alignment horizontal="right"/>
    </xf>
    <xf numFmtId="49" fontId="0" fillId="0" borderId="0" xfId="0" applyNumberFormat="1" applyBorder="1" applyAlignment="1">
      <alignment horizontal="center"/>
    </xf>
    <xf numFmtId="0" fontId="0" fillId="0" borderId="0" xfId="0" quotePrefix="1"/>
    <xf numFmtId="165" fontId="19" fillId="0" borderId="14" xfId="3" applyFont="1" applyBorder="1" applyAlignment="1">
      <alignment horizontal="left" vertical="center"/>
    </xf>
    <xf numFmtId="0" fontId="46" fillId="0" borderId="0" xfId="51" applyFont="1"/>
    <xf numFmtId="0" fontId="3" fillId="0" borderId="0" xfId="51"/>
    <xf numFmtId="0" fontId="46" fillId="0" borderId="0" xfId="51" applyFont="1" applyAlignment="1">
      <alignment wrapText="1"/>
    </xf>
    <xf numFmtId="0" fontId="46" fillId="0" borderId="66" xfId="51" applyFont="1" applyBorder="1" applyAlignment="1">
      <alignment horizontal="left" wrapText="1"/>
    </xf>
    <xf numFmtId="0" fontId="46" fillId="0" borderId="66" xfId="51" applyFont="1" applyBorder="1" applyAlignment="1">
      <alignment horizontal="center" wrapText="1"/>
    </xf>
    <xf numFmtId="0" fontId="3" fillId="0" borderId="66" xfId="51" applyBorder="1" applyAlignment="1">
      <alignment horizontal="left" wrapText="1"/>
    </xf>
    <xf numFmtId="0" fontId="3" fillId="0" borderId="66" xfId="51" applyBorder="1" applyAlignment="1">
      <alignment wrapText="1"/>
    </xf>
    <xf numFmtId="0" fontId="3" fillId="0" borderId="66" xfId="51" applyBorder="1" applyAlignment="1">
      <alignment horizontal="center" wrapText="1"/>
    </xf>
    <xf numFmtId="14" fontId="3" fillId="0" borderId="66" xfId="51" applyNumberFormat="1" applyBorder="1" applyAlignment="1">
      <alignment horizontal="center" wrapText="1"/>
    </xf>
    <xf numFmtId="0" fontId="46" fillId="0" borderId="66" xfId="51" applyFont="1" applyBorder="1" applyAlignment="1">
      <alignment wrapText="1"/>
    </xf>
    <xf numFmtId="20" fontId="2" fillId="0" borderId="0" xfId="25" applyNumberFormat="1" applyFont="1"/>
    <xf numFmtId="0" fontId="46" fillId="0" borderId="1" xfId="52" applyFont="1" applyBorder="1" applyAlignment="1">
      <alignment horizontal="center"/>
    </xf>
    <xf numFmtId="0" fontId="1" fillId="0" borderId="1" xfId="52" applyFont="1" applyBorder="1" applyAlignment="1">
      <alignment horizontal="center"/>
    </xf>
    <xf numFmtId="178" fontId="0" fillId="0" borderId="1" xfId="53" applyNumberFormat="1" applyFont="1" applyBorder="1" applyAlignment="1">
      <alignment horizontal="center"/>
    </xf>
    <xf numFmtId="165" fontId="0" fillId="0" borderId="1" xfId="3" applyFont="1" applyBorder="1" applyAlignment="1">
      <alignment horizontal="center"/>
    </xf>
    <xf numFmtId="43" fontId="0" fillId="0" borderId="1" xfId="53" applyNumberFormat="1" applyFont="1" applyBorder="1" applyAlignment="1">
      <alignment horizontal="center"/>
    </xf>
    <xf numFmtId="0" fontId="1" fillId="0" borderId="8" xfId="52" applyFont="1" applyBorder="1" applyAlignment="1">
      <alignment horizontal="center"/>
    </xf>
    <xf numFmtId="166" fontId="1" fillId="0" borderId="10" xfId="52" applyNumberFormat="1" applyBorder="1" applyAlignment="1">
      <alignment horizontal="center"/>
    </xf>
    <xf numFmtId="165" fontId="0" fillId="0" borderId="10" xfId="3" applyFont="1" applyBorder="1" applyAlignment="1">
      <alignment horizontal="center"/>
    </xf>
    <xf numFmtId="0" fontId="46" fillId="0" borderId="10" xfId="52" applyFont="1" applyBorder="1" applyAlignment="1">
      <alignment horizontal="center"/>
    </xf>
    <xf numFmtId="43" fontId="19" fillId="0" borderId="1" xfId="53" applyNumberFormat="1" applyFont="1" applyBorder="1" applyAlignment="1"/>
    <xf numFmtId="43" fontId="4" fillId="0" borderId="0" xfId="50" applyNumberFormat="1"/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165" fontId="19" fillId="0" borderId="14" xfId="3" applyFont="1" applyBorder="1" applyAlignment="1">
      <alignment horizontal="left" vertical="center"/>
    </xf>
    <xf numFmtId="165" fontId="19" fillId="0" borderId="9" xfId="3" applyFont="1" applyBorder="1" applyAlignment="1">
      <alignment horizontal="left" vertical="center"/>
    </xf>
    <xf numFmtId="0" fontId="31" fillId="8" borderId="25" xfId="0" applyFont="1" applyFill="1" applyBorder="1" applyAlignment="1">
      <alignment horizontal="center" vertical="center"/>
    </xf>
    <xf numFmtId="0" fontId="31" fillId="8" borderId="26" xfId="0" applyFont="1" applyFill="1" applyBorder="1" applyAlignment="1">
      <alignment horizontal="center" vertical="center"/>
    </xf>
    <xf numFmtId="0" fontId="31" fillId="8" borderId="27" xfId="0" applyFont="1" applyFill="1" applyBorder="1" applyAlignment="1">
      <alignment horizontal="center" vertical="center"/>
    </xf>
    <xf numFmtId="0" fontId="23" fillId="8" borderId="44" xfId="0" applyFont="1" applyFill="1" applyBorder="1" applyAlignment="1">
      <alignment horizontal="center" vertical="center"/>
    </xf>
    <xf numFmtId="0" fontId="23" fillId="8" borderId="42" xfId="0" applyFont="1" applyFill="1" applyBorder="1" applyAlignment="1">
      <alignment horizontal="center" vertical="center"/>
    </xf>
    <xf numFmtId="0" fontId="23" fillId="8" borderId="45" xfId="0" applyFont="1" applyFill="1" applyBorder="1" applyAlignment="1">
      <alignment horizontal="center" vertical="center"/>
    </xf>
    <xf numFmtId="165" fontId="19" fillId="0" borderId="5" xfId="3" applyFont="1" applyBorder="1" applyAlignment="1">
      <alignment horizontal="center" vertical="center"/>
    </xf>
    <xf numFmtId="165" fontId="19" fillId="0" borderId="6" xfId="3" applyFont="1" applyBorder="1" applyAlignment="1">
      <alignment horizontal="center" vertical="center"/>
    </xf>
    <xf numFmtId="165" fontId="19" fillId="0" borderId="43" xfId="3" applyFont="1" applyBorder="1" applyAlignment="1">
      <alignment horizontal="center" vertical="center"/>
    </xf>
    <xf numFmtId="165" fontId="20" fillId="8" borderId="5" xfId="3" applyFont="1" applyFill="1" applyBorder="1" applyAlignment="1">
      <alignment horizontal="center" vertical="center"/>
    </xf>
    <xf numFmtId="165" fontId="20" fillId="8" borderId="6" xfId="3" applyFont="1" applyFill="1" applyBorder="1" applyAlignment="1">
      <alignment horizontal="center" vertical="center"/>
    </xf>
    <xf numFmtId="165" fontId="20" fillId="8" borderId="7" xfId="3" applyFont="1" applyFill="1" applyBorder="1" applyAlignment="1">
      <alignment horizontal="center" vertical="center"/>
    </xf>
    <xf numFmtId="0" fontId="31" fillId="8" borderId="21" xfId="0" applyFont="1" applyFill="1" applyBorder="1" applyAlignment="1">
      <alignment horizontal="center" vertical="center"/>
    </xf>
    <xf numFmtId="0" fontId="31" fillId="8" borderId="22" xfId="0" applyFont="1" applyFill="1" applyBorder="1" applyAlignment="1">
      <alignment horizontal="center" vertical="center"/>
    </xf>
    <xf numFmtId="0" fontId="31" fillId="8" borderId="12" xfId="0" applyFont="1" applyFill="1" applyBorder="1" applyAlignment="1">
      <alignment horizontal="center" vertical="center"/>
    </xf>
    <xf numFmtId="0" fontId="31" fillId="10" borderId="19" xfId="0" applyFont="1" applyFill="1" applyBorder="1" applyAlignment="1">
      <alignment horizontal="center"/>
    </xf>
    <xf numFmtId="0" fontId="31" fillId="10" borderId="46" xfId="0" applyFont="1" applyFill="1" applyBorder="1" applyAlignment="1">
      <alignment horizontal="center"/>
    </xf>
    <xf numFmtId="0" fontId="22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21" fillId="0" borderId="1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9" fontId="23" fillId="0" borderId="21" xfId="2" applyFont="1" applyBorder="1" applyAlignment="1">
      <alignment horizontal="center"/>
    </xf>
    <xf numFmtId="9" fontId="23" fillId="0" borderId="22" xfId="2" applyFont="1" applyBorder="1" applyAlignment="1">
      <alignment horizontal="center"/>
    </xf>
    <xf numFmtId="9" fontId="23" fillId="0" borderId="12" xfId="2" applyFont="1" applyBorder="1" applyAlignment="1">
      <alignment horizontal="center"/>
    </xf>
    <xf numFmtId="0" fontId="20" fillId="10" borderId="25" xfId="0" applyFont="1" applyFill="1" applyBorder="1" applyAlignment="1">
      <alignment horizontal="center" vertical="center"/>
    </xf>
    <xf numFmtId="0" fontId="20" fillId="10" borderId="26" xfId="0" applyFont="1" applyFill="1" applyBorder="1" applyAlignment="1">
      <alignment horizontal="center" vertical="center"/>
    </xf>
    <xf numFmtId="0" fontId="20" fillId="10" borderId="27" xfId="0" applyFont="1" applyFill="1" applyBorder="1" applyAlignment="1">
      <alignment horizontal="center" vertical="center"/>
    </xf>
    <xf numFmtId="0" fontId="48" fillId="0" borderId="0" xfId="50" applyFont="1" applyAlignment="1">
      <alignment horizontal="left" wrapText="1"/>
    </xf>
    <xf numFmtId="0" fontId="46" fillId="0" borderId="8" xfId="52" applyFont="1" applyBorder="1" applyAlignment="1">
      <alignment horizontal="left"/>
    </xf>
    <xf numFmtId="0" fontId="46" fillId="0" borderId="9" xfId="52" applyFont="1" applyBorder="1" applyAlignment="1">
      <alignment horizontal="left"/>
    </xf>
    <xf numFmtId="0" fontId="46" fillId="0" borderId="10" xfId="52" applyFont="1" applyBorder="1" applyAlignment="1">
      <alignment horizontal="left"/>
    </xf>
    <xf numFmtId="0" fontId="46" fillId="0" borderId="8" xfId="52" applyFont="1" applyBorder="1" applyAlignment="1">
      <alignment horizontal="center"/>
    </xf>
    <xf numFmtId="0" fontId="46" fillId="0" borderId="10" xfId="52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17" xfId="0" applyFont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4" xfId="0" applyFill="1" applyBorder="1" applyAlignment="1">
      <alignment horizontal="right"/>
    </xf>
    <xf numFmtId="0" fontId="0" fillId="0" borderId="36" xfId="0" applyFill="1" applyBorder="1" applyAlignment="1">
      <alignment horizontal="right"/>
    </xf>
    <xf numFmtId="0" fontId="46" fillId="0" borderId="16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18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5" xfId="0" applyFill="1" applyBorder="1" applyAlignment="1">
      <alignment horizontal="right"/>
    </xf>
    <xf numFmtId="0" fontId="0" fillId="0" borderId="56" xfId="0" applyFill="1" applyBorder="1" applyAlignment="1">
      <alignment horizontal="right"/>
    </xf>
    <xf numFmtId="0" fontId="0" fillId="0" borderId="62" xfId="0" applyFill="1" applyBorder="1" applyAlignment="1">
      <alignment horizontal="right"/>
    </xf>
    <xf numFmtId="0" fontId="46" fillId="0" borderId="5" xfId="0" applyFont="1" applyBorder="1" applyAlignment="1">
      <alignment horizontal="center"/>
    </xf>
    <xf numFmtId="0" fontId="46" fillId="0" borderId="6" xfId="0" applyFont="1" applyBorder="1" applyAlignment="1">
      <alignment horizontal="center"/>
    </xf>
    <xf numFmtId="0" fontId="46" fillId="0" borderId="7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1" xfId="0" applyFont="1" applyBorder="1" applyAlignment="1">
      <alignment horizontal="center"/>
    </xf>
    <xf numFmtId="0" fontId="46" fillId="0" borderId="46" xfId="0" applyFon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49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 wrapText="1"/>
    </xf>
    <xf numFmtId="0" fontId="46" fillId="0" borderId="22" xfId="0" applyFont="1" applyBorder="1" applyAlignment="1">
      <alignment horizontal="center" vertical="center" wrapText="1"/>
    </xf>
    <xf numFmtId="0" fontId="46" fillId="0" borderId="57" xfId="0" applyFont="1" applyBorder="1" applyAlignment="1">
      <alignment horizontal="center" vertical="center" wrapText="1"/>
    </xf>
    <xf numFmtId="0" fontId="46" fillId="0" borderId="58" xfId="0" applyFont="1" applyBorder="1" applyAlignment="1">
      <alignment horizontal="center" vertical="center" wrapText="1"/>
    </xf>
    <xf numFmtId="173" fontId="46" fillId="0" borderId="25" xfId="0" applyNumberFormat="1" applyFont="1" applyBorder="1" applyAlignment="1">
      <alignment horizontal="center"/>
    </xf>
    <xf numFmtId="173" fontId="46" fillId="0" borderId="26" xfId="0" applyNumberFormat="1" applyFont="1" applyBorder="1" applyAlignment="1">
      <alignment horizontal="center"/>
    </xf>
    <xf numFmtId="173" fontId="46" fillId="0" borderId="27" xfId="0" applyNumberFormat="1" applyFont="1" applyBorder="1" applyAlignment="1">
      <alignment horizontal="center"/>
    </xf>
    <xf numFmtId="173" fontId="46" fillId="0" borderId="38" xfId="0" applyNumberFormat="1" applyFont="1" applyBorder="1" applyAlignment="1">
      <alignment horizontal="center"/>
    </xf>
    <xf numFmtId="173" fontId="46" fillId="0" borderId="0" xfId="0" applyNumberFormat="1" applyFont="1" applyBorder="1" applyAlignment="1">
      <alignment horizontal="center"/>
    </xf>
    <xf numFmtId="173" fontId="46" fillId="0" borderId="39" xfId="0" applyNumberFormat="1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0" xfId="0" applyBorder="1" applyAlignment="1">
      <alignment horizontal="center"/>
    </xf>
    <xf numFmtId="0" fontId="46" fillId="0" borderId="19" xfId="0" applyFont="1" applyBorder="1" applyAlignment="1">
      <alignment horizontal="center" vertical="center" wrapText="1"/>
    </xf>
    <xf numFmtId="0" fontId="46" fillId="0" borderId="11" xfId="0" applyFont="1" applyBorder="1" applyAlignment="1">
      <alignment horizontal="center" vertical="center" wrapText="1"/>
    </xf>
    <xf numFmtId="0" fontId="46" fillId="0" borderId="61" xfId="0" applyFont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0" fontId="46" fillId="0" borderId="41" xfId="0" applyFont="1" applyBorder="1" applyAlignment="1">
      <alignment horizontal="center" vertical="center" wrapText="1"/>
    </xf>
    <xf numFmtId="0" fontId="46" fillId="0" borderId="59" xfId="0" applyFont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46" fillId="0" borderId="5" xfId="0" applyFont="1" applyBorder="1" applyAlignment="1">
      <alignment horizontal="center" wrapText="1"/>
    </xf>
    <xf numFmtId="0" fontId="46" fillId="0" borderId="6" xfId="0" applyFont="1" applyBorder="1" applyAlignment="1">
      <alignment horizontal="center" wrapText="1"/>
    </xf>
    <xf numFmtId="0" fontId="46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6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horizontal="center" vertical="center"/>
    </xf>
    <xf numFmtId="0" fontId="46" fillId="0" borderId="0" xfId="51" applyFont="1" applyAlignment="1">
      <alignment wrapText="1"/>
    </xf>
    <xf numFmtId="0" fontId="46" fillId="11" borderId="63" xfId="51" applyFont="1" applyFill="1" applyBorder="1" applyAlignment="1">
      <alignment horizontal="center" vertical="center" wrapText="1"/>
    </xf>
    <xf numFmtId="0" fontId="46" fillId="11" borderId="64" xfId="51" applyFont="1" applyFill="1" applyBorder="1" applyAlignment="1">
      <alignment horizontal="center" vertical="center" wrapText="1"/>
    </xf>
    <xf numFmtId="0" fontId="46" fillId="11" borderId="65" xfId="51" applyFont="1" applyFill="1" applyBorder="1" applyAlignment="1">
      <alignment horizontal="center" vertical="center" wrapText="1"/>
    </xf>
    <xf numFmtId="0" fontId="46" fillId="12" borderId="63" xfId="51" applyFont="1" applyFill="1" applyBorder="1" applyAlignment="1">
      <alignment horizontal="center" vertical="center" wrapText="1"/>
    </xf>
    <xf numFmtId="0" fontId="46" fillId="12" borderId="65" xfId="51" applyFont="1" applyFill="1" applyBorder="1" applyAlignment="1">
      <alignment horizontal="center" vertical="center" wrapText="1"/>
    </xf>
  </cellXfs>
  <cellStyles count="54">
    <cellStyle name="Hyperlink" xfId="1" builtinId="8"/>
    <cellStyle name="Moeda 2" xfId="6"/>
    <cellStyle name="Moeda 3" xfId="7"/>
    <cellStyle name="Moeda 4" xfId="38"/>
    <cellStyle name="Moeda 5" xfId="43"/>
    <cellStyle name="Normal" xfId="0" builtinId="0"/>
    <cellStyle name="Normal 10" xfId="26"/>
    <cellStyle name="Normal 11" xfId="27"/>
    <cellStyle name="Normal 12" xfId="30"/>
    <cellStyle name="Normal 13" xfId="32"/>
    <cellStyle name="Normal 14" xfId="34"/>
    <cellStyle name="Normal 15" xfId="37"/>
    <cellStyle name="Normal 16" xfId="39"/>
    <cellStyle name="Normal 17" xfId="41"/>
    <cellStyle name="Normal 18" xfId="44"/>
    <cellStyle name="Normal 19" xfId="46"/>
    <cellStyle name="Normal 2" xfId="8"/>
    <cellStyle name="Normal 2 2" xfId="9"/>
    <cellStyle name="Normal 2 3" xfId="25"/>
    <cellStyle name="Normal 20" xfId="48"/>
    <cellStyle name="Normal 21" xfId="50"/>
    <cellStyle name="Normal 22" xfId="51"/>
    <cellStyle name="Normal 3" xfId="10"/>
    <cellStyle name="Normal 4" xfId="11"/>
    <cellStyle name="Normal 5" xfId="12"/>
    <cellStyle name="Normal 6" xfId="4"/>
    <cellStyle name="Normal 6 2" xfId="52"/>
    <cellStyle name="Normal 7" xfId="13"/>
    <cellStyle name="Normal 8" xfId="14"/>
    <cellStyle name="Normal 9" xfId="15"/>
    <cellStyle name="Porcentagem" xfId="2" builtinId="5"/>
    <cellStyle name="Porcentagem 2" xfId="16"/>
    <cellStyle name="Porcentagem 3" xfId="17"/>
    <cellStyle name="Separador de milhares" xfId="3" builtinId="3"/>
    <cellStyle name="Separador de milhares 10" xfId="28"/>
    <cellStyle name="Separador de milhares 11" xfId="31"/>
    <cellStyle name="Separador de milhares 12" xfId="33"/>
    <cellStyle name="Separador de milhares 13" xfId="35"/>
    <cellStyle name="Separador de milhares 14" xfId="36"/>
    <cellStyle name="Separador de milhares 15" xfId="40"/>
    <cellStyle name="Separador de milhares 16" xfId="42"/>
    <cellStyle name="Separador de milhares 17" xfId="45"/>
    <cellStyle name="Separador de milhares 18" xfId="47"/>
    <cellStyle name="Separador de milhares 19" xfId="49"/>
    <cellStyle name="Separador de milhares 2" xfId="18"/>
    <cellStyle name="Separador de milhares 3" xfId="19"/>
    <cellStyle name="Separador de milhares 4" xfId="20"/>
    <cellStyle name="Separador de milhares 5" xfId="5"/>
    <cellStyle name="Separador de milhares 5 2" xfId="53"/>
    <cellStyle name="Separador de milhares 6" xfId="21"/>
    <cellStyle name="Separador de milhares 7" xfId="22"/>
    <cellStyle name="Separador de milhares 8" xfId="23"/>
    <cellStyle name="Separador de milhares 9" xfId="29"/>
    <cellStyle name="Vírgula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4</xdr:row>
      <xdr:rowOff>28575</xdr:rowOff>
    </xdr:from>
    <xdr:to>
      <xdr:col>0</xdr:col>
      <xdr:colOff>1419225</xdr:colOff>
      <xdr:row>6</xdr:row>
      <xdr:rowOff>66675</xdr:rowOff>
    </xdr:to>
    <xdr:pic>
      <xdr:nvPicPr>
        <xdr:cNvPr id="650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2858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7</xdr:row>
      <xdr:rowOff>9525</xdr:rowOff>
    </xdr:from>
    <xdr:to>
      <xdr:col>0</xdr:col>
      <xdr:colOff>2124075</xdr:colOff>
      <xdr:row>9</xdr:row>
      <xdr:rowOff>57150</xdr:rowOff>
    </xdr:to>
    <xdr:pic>
      <xdr:nvPicPr>
        <xdr:cNvPr id="65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885825"/>
          <a:ext cx="2038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3"/>
  <sheetViews>
    <sheetView tabSelected="1" zoomScaleSheetLayoutView="100" workbookViewId="0"/>
  </sheetViews>
  <sheetFormatPr defaultColWidth="9.109375" defaultRowHeight="13.2"/>
  <cols>
    <col min="1" max="1" width="44.5546875" style="9" customWidth="1"/>
    <col min="2" max="2" width="16" style="9" bestFit="1" customWidth="1"/>
    <col min="3" max="3" width="12.44140625" style="9" customWidth="1"/>
    <col min="4" max="4" width="14.6640625" style="10" customWidth="1"/>
    <col min="5" max="5" width="15.44140625" style="10" customWidth="1"/>
    <col min="6" max="6" width="13.33203125" style="10" customWidth="1"/>
    <col min="7" max="7" width="28.109375" style="10" customWidth="1"/>
    <col min="8" max="8" width="9.109375" style="9"/>
    <col min="9" max="9" width="14.5546875" style="9" customWidth="1"/>
    <col min="10" max="10" width="13.44140625" style="9" customWidth="1"/>
    <col min="11" max="16384" width="9.109375" style="9"/>
  </cols>
  <sheetData>
    <row r="1" spans="1:7" ht="15.6">
      <c r="A1" s="283" t="s">
        <v>193</v>
      </c>
    </row>
    <row r="2" spans="1:7" ht="15.6">
      <c r="A2" s="318" t="s">
        <v>256</v>
      </c>
    </row>
    <row r="3" spans="1:7" ht="15.6">
      <c r="A3" s="318" t="s">
        <v>257</v>
      </c>
    </row>
    <row r="4" spans="1:7" ht="15.6">
      <c r="A4" s="318" t="s">
        <v>259</v>
      </c>
    </row>
    <row r="5" spans="1:7" s="4" customFormat="1" ht="15.6" customHeight="1">
      <c r="A5" s="283" t="s">
        <v>254</v>
      </c>
      <c r="C5" s="138"/>
      <c r="D5" s="138"/>
      <c r="E5" s="138"/>
      <c r="F5" s="138"/>
      <c r="G5" s="6"/>
    </row>
    <row r="6" spans="1:7" s="4" customFormat="1" ht="15.6" customHeight="1">
      <c r="A6" s="284" t="s">
        <v>258</v>
      </c>
      <c r="B6" s="138"/>
      <c r="C6" s="138"/>
      <c r="D6" s="138"/>
      <c r="E6" s="138"/>
      <c r="F6" s="138"/>
      <c r="G6" s="6"/>
    </row>
    <row r="7" spans="1:7" s="4" customFormat="1" ht="15.6" hidden="1" customHeight="1">
      <c r="A7" s="137"/>
      <c r="B7" s="138"/>
      <c r="C7" s="138"/>
      <c r="D7" s="138"/>
      <c r="E7" s="138"/>
      <c r="F7" s="138"/>
      <c r="G7" s="6"/>
    </row>
    <row r="8" spans="1:7" s="4" customFormat="1" ht="15.6" hidden="1" customHeight="1">
      <c r="A8" s="285" t="s">
        <v>264</v>
      </c>
      <c r="B8" s="138"/>
      <c r="C8" s="138"/>
      <c r="D8" s="138"/>
      <c r="E8" s="138"/>
      <c r="F8" s="138"/>
      <c r="G8" s="6"/>
    </row>
    <row r="9" spans="1:7" s="4" customFormat="1" ht="15.6" customHeight="1">
      <c r="A9" s="318" t="s">
        <v>261</v>
      </c>
      <c r="B9" s="138"/>
      <c r="C9" s="138"/>
      <c r="D9" s="138"/>
      <c r="E9" s="138"/>
      <c r="F9" s="138"/>
      <c r="G9" s="6"/>
    </row>
    <row r="10" spans="1:7" s="4" customFormat="1" ht="16.5" customHeight="1">
      <c r="A10" s="7"/>
      <c r="B10" s="5"/>
      <c r="C10" s="5"/>
      <c r="D10" s="6"/>
      <c r="E10" s="6"/>
      <c r="F10" s="6"/>
      <c r="G10" s="6"/>
    </row>
    <row r="11" spans="1:7" s="4" customFormat="1" ht="16.5" customHeight="1" thickBot="1">
      <c r="A11" s="319" t="s">
        <v>412</v>
      </c>
      <c r="B11" s="5"/>
      <c r="C11" s="5"/>
      <c r="D11" s="6"/>
      <c r="E11" s="6"/>
      <c r="F11" s="6"/>
      <c r="G11" s="6"/>
    </row>
    <row r="12" spans="1:7" s="8" customFormat="1" ht="17.399999999999999">
      <c r="A12" s="469" t="s">
        <v>370</v>
      </c>
      <c r="B12" s="470"/>
      <c r="C12" s="470"/>
      <c r="D12" s="470"/>
      <c r="E12" s="470"/>
      <c r="F12" s="471"/>
      <c r="G12" s="36"/>
    </row>
    <row r="13" spans="1:7" s="8" customFormat="1" ht="21.75" customHeight="1">
      <c r="A13" s="472" t="s">
        <v>45</v>
      </c>
      <c r="B13" s="473"/>
      <c r="C13" s="473"/>
      <c r="D13" s="473"/>
      <c r="E13" s="473"/>
      <c r="F13" s="474"/>
      <c r="G13" s="36"/>
    </row>
    <row r="14" spans="1:7" s="4" customFormat="1" ht="10.95" customHeight="1" thickBot="1">
      <c r="A14" s="150"/>
      <c r="B14" s="151"/>
      <c r="C14" s="151"/>
      <c r="D14" s="152"/>
      <c r="E14" s="152"/>
      <c r="F14" s="153"/>
      <c r="G14" s="6"/>
    </row>
    <row r="15" spans="1:7" s="4" customFormat="1" ht="15.75" customHeight="1" thickBot="1">
      <c r="A15" s="478" t="s">
        <v>192</v>
      </c>
      <c r="B15" s="479"/>
      <c r="C15" s="479"/>
      <c r="D15" s="479"/>
      <c r="E15" s="479"/>
      <c r="F15" s="480"/>
      <c r="G15" s="6"/>
    </row>
    <row r="16" spans="1:7" s="4" customFormat="1" ht="15.75" customHeight="1">
      <c r="A16" s="64" t="s">
        <v>191</v>
      </c>
      <c r="B16" s="40"/>
      <c r="C16" s="40"/>
      <c r="D16" s="260"/>
      <c r="E16" s="115" t="s">
        <v>40</v>
      </c>
      <c r="F16" s="41" t="s">
        <v>2</v>
      </c>
      <c r="G16" s="6"/>
    </row>
    <row r="17" spans="1:7" s="11" customFormat="1" ht="15.75" customHeight="1">
      <c r="A17" s="124" t="str">
        <f>A56</f>
        <v>1. Mão-de-obra</v>
      </c>
      <c r="B17" s="125"/>
      <c r="C17" s="126"/>
      <c r="D17" s="126"/>
      <c r="E17" s="257">
        <f>+F154</f>
        <v>5970.5206639653088</v>
      </c>
      <c r="F17" s="127">
        <f>IFERROR(E17/$E$39,0)</f>
        <v>0.44633570037829673</v>
      </c>
      <c r="G17" s="44"/>
    </row>
    <row r="18" spans="1:7" s="4" customFormat="1" ht="15.75" customHeight="1">
      <c r="A18" s="49" t="str">
        <f>A58</f>
        <v>1.1. Coletor Turno Dia</v>
      </c>
      <c r="B18" s="45"/>
      <c r="C18" s="47"/>
      <c r="D18" s="47"/>
      <c r="E18" s="258">
        <f>F69</f>
        <v>3171.1496280056726</v>
      </c>
      <c r="F18" s="58">
        <f>IFERROR(E18/$E$39,0)</f>
        <v>0.23706429805407522</v>
      </c>
      <c r="G18" s="6"/>
    </row>
    <row r="19" spans="1:7" s="4" customFormat="1" ht="15.75" hidden="1" customHeight="1">
      <c r="A19" s="49" t="str">
        <f>A71</f>
        <v>1.2. Coletor Turno Noite</v>
      </c>
      <c r="B19" s="45"/>
      <c r="C19" s="47"/>
      <c r="D19" s="47"/>
      <c r="E19" s="258">
        <f>F88</f>
        <v>0</v>
      </c>
      <c r="F19" s="58">
        <f t="shared" ref="F19:F38" si="0">IFERROR(E19/$E$39,0)</f>
        <v>0</v>
      </c>
      <c r="G19" s="6"/>
    </row>
    <row r="20" spans="1:7" s="4" customFormat="1" ht="15.75" customHeight="1">
      <c r="A20" s="49" t="str">
        <f>A90</f>
        <v>1.2. Motorista Turno do Dia</v>
      </c>
      <c r="B20" s="45"/>
      <c r="C20" s="47"/>
      <c r="D20" s="47"/>
      <c r="E20" s="258">
        <f>F103</f>
        <v>1641.3015625974547</v>
      </c>
      <c r="F20" s="58">
        <f t="shared" si="0"/>
        <v>0.12269809011721801</v>
      </c>
      <c r="G20" s="6"/>
    </row>
    <row r="21" spans="1:7" s="4" customFormat="1" ht="15.75" customHeight="1">
      <c r="A21" s="49" t="str">
        <f>A106</f>
        <v>1.3. Encarregado/Supervisor</v>
      </c>
      <c r="B21" s="45"/>
      <c r="C21" s="47"/>
      <c r="D21" s="47"/>
      <c r="E21" s="258">
        <f>F125</f>
        <v>406.57284608945452</v>
      </c>
      <c r="F21" s="58">
        <f t="shared" si="0"/>
        <v>3.0393995135026053E-2</v>
      </c>
      <c r="G21" s="6"/>
    </row>
    <row r="22" spans="1:7" s="4" customFormat="1" ht="15.75" customHeight="1">
      <c r="A22" s="49" t="str">
        <f>A127</f>
        <v>1.4. Vale Transporte</v>
      </c>
      <c r="B22" s="45"/>
      <c r="C22" s="47"/>
      <c r="D22" s="47"/>
      <c r="E22" s="258">
        <f>F133</f>
        <v>135.01590000000002</v>
      </c>
      <c r="F22" s="58">
        <f t="shared" si="0"/>
        <v>1.0093326810242194E-2</v>
      </c>
      <c r="G22" s="6"/>
    </row>
    <row r="23" spans="1:7" s="4" customFormat="1" ht="15.75" customHeight="1">
      <c r="A23" s="49" t="str">
        <f>A135</f>
        <v>1.5. Vale-refeição (diário)</v>
      </c>
      <c r="B23" s="45"/>
      <c r="C23" s="47"/>
      <c r="D23" s="47"/>
      <c r="E23" s="258">
        <f>F140</f>
        <v>566.85199999999998</v>
      </c>
      <c r="F23" s="58">
        <f t="shared" si="0"/>
        <v>4.2375916384954714E-2</v>
      </c>
      <c r="G23" s="6"/>
    </row>
    <row r="24" spans="1:7" s="4" customFormat="1" ht="15.75" customHeight="1">
      <c r="A24" s="49" t="str">
        <f>A142</f>
        <v>1.6. Auxílio Alimentação (mensal)</v>
      </c>
      <c r="B24" s="45"/>
      <c r="C24" s="47"/>
      <c r="D24" s="47"/>
      <c r="E24" s="258">
        <f>F146</f>
        <v>34.718727272727278</v>
      </c>
      <c r="F24" s="58">
        <f t="shared" si="0"/>
        <v>2.5954532821638419E-3</v>
      </c>
      <c r="G24" s="6"/>
    </row>
    <row r="25" spans="1:7" s="4" customFormat="1" ht="15.75" customHeight="1">
      <c r="A25" s="49" t="str">
        <f>A148</f>
        <v xml:space="preserve">1.7. Plano de Benefício Social  </v>
      </c>
      <c r="B25" s="45"/>
      <c r="C25" s="47"/>
      <c r="D25" s="47"/>
      <c r="E25" s="258">
        <f>F152</f>
        <v>14.91</v>
      </c>
      <c r="F25" s="58">
        <f t="shared" ref="F25" si="1">IFERROR(E25/$E$39,0)</f>
        <v>1.1146205946167163E-3</v>
      </c>
      <c r="G25" s="6"/>
    </row>
    <row r="26" spans="1:7" s="11" customFormat="1" ht="15.75" customHeight="1">
      <c r="A26" s="467" t="str">
        <f>A156</f>
        <v>2. Uniformes e Equipamentos de Proteção Individual</v>
      </c>
      <c r="B26" s="468"/>
      <c r="C26" s="468"/>
      <c r="D26" s="126"/>
      <c r="E26" s="257">
        <f>+F188</f>
        <v>140.19886363636363</v>
      </c>
      <c r="F26" s="127">
        <f t="shared" si="0"/>
        <v>1.0480787441378373E-2</v>
      </c>
      <c r="G26" s="44"/>
    </row>
    <row r="27" spans="1:7" s="11" customFormat="1" ht="15.75" customHeight="1">
      <c r="A27" s="135" t="str">
        <f>A190</f>
        <v>3. Veículos e Equipamentos</v>
      </c>
      <c r="B27" s="136"/>
      <c r="C27" s="126"/>
      <c r="D27" s="126"/>
      <c r="E27" s="257">
        <f>+F271</f>
        <v>4026.0359777274825</v>
      </c>
      <c r="F27" s="127">
        <f t="shared" si="0"/>
        <v>0.30097267709207909</v>
      </c>
      <c r="G27" s="44"/>
    </row>
    <row r="28" spans="1:7" s="4" customFormat="1" ht="15.75" customHeight="1">
      <c r="A28" s="65" t="str">
        <f>A192</f>
        <v xml:space="preserve">3.1. Veículo Coletor com caçamba </v>
      </c>
      <c r="B28" s="46"/>
      <c r="C28" s="47"/>
      <c r="D28" s="47"/>
      <c r="E28" s="258">
        <f>SUM(E29:E34)</f>
        <v>4026.0359777274825</v>
      </c>
      <c r="F28" s="143">
        <f t="shared" si="0"/>
        <v>0.30097267709207909</v>
      </c>
      <c r="G28" s="6"/>
    </row>
    <row r="29" spans="1:7" s="4" customFormat="1" ht="15.75" customHeight="1">
      <c r="A29" s="65" t="str">
        <f>A194</f>
        <v>3.1.1. Depreciação</v>
      </c>
      <c r="B29" s="46"/>
      <c r="C29" s="47"/>
      <c r="D29" s="47"/>
      <c r="E29" s="258">
        <f>F209</f>
        <v>532.65584166666667</v>
      </c>
      <c r="F29" s="143">
        <f t="shared" si="0"/>
        <v>3.9819528569052146E-2</v>
      </c>
      <c r="G29" s="6"/>
    </row>
    <row r="30" spans="1:7" s="4" customFormat="1" ht="15.75" customHeight="1">
      <c r="A30" s="65" t="str">
        <f>A211</f>
        <v>3.1.2. Remuneração do Capital</v>
      </c>
      <c r="B30" s="46"/>
      <c r="C30" s="47"/>
      <c r="D30" s="47"/>
      <c r="E30" s="258">
        <f>F226</f>
        <v>321.62551210416666</v>
      </c>
      <c r="F30" s="143">
        <f t="shared" si="0"/>
        <v>2.4043623041277808E-2</v>
      </c>
      <c r="G30" s="6"/>
    </row>
    <row r="31" spans="1:7" s="4" customFormat="1" ht="15.75" customHeight="1">
      <c r="A31" s="65" t="str">
        <f>A228</f>
        <v>3.1.3. Impostos e Seguros</v>
      </c>
      <c r="B31" s="46"/>
      <c r="C31" s="47"/>
      <c r="D31" s="47"/>
      <c r="E31" s="258">
        <f>F234</f>
        <v>182.53971590909092</v>
      </c>
      <c r="F31" s="143">
        <f t="shared" si="0"/>
        <v>1.3646044714135304E-2</v>
      </c>
      <c r="G31" s="6"/>
    </row>
    <row r="32" spans="1:7" s="4" customFormat="1" ht="15.75" customHeight="1">
      <c r="A32" s="65" t="str">
        <f>A236</f>
        <v>3.1.4. Consumos</v>
      </c>
      <c r="B32" s="46"/>
      <c r="C32" s="47"/>
      <c r="D32" s="47"/>
      <c r="E32" s="258">
        <f>F254</f>
        <v>1973.2597831517214</v>
      </c>
      <c r="F32" s="143">
        <f t="shared" si="0"/>
        <v>0.14751415109522631</v>
      </c>
      <c r="G32" s="6"/>
    </row>
    <row r="33" spans="1:7" s="4" customFormat="1" ht="15.75" customHeight="1">
      <c r="A33" s="65" t="str">
        <f>A256</f>
        <v>3.1.5. Manutenção</v>
      </c>
      <c r="B33" s="46"/>
      <c r="C33" s="47"/>
      <c r="D33" s="47"/>
      <c r="E33" s="258">
        <f>F259</f>
        <v>757.15170305142863</v>
      </c>
      <c r="F33" s="143">
        <f t="shared" si="0"/>
        <v>5.6602071191833851E-2</v>
      </c>
      <c r="G33" s="6"/>
    </row>
    <row r="34" spans="1:7" s="4" customFormat="1" ht="15.75" customHeight="1">
      <c r="A34" s="65" t="str">
        <f>A261</f>
        <v>3.1.6. Pneus</v>
      </c>
      <c r="B34" s="46"/>
      <c r="C34" s="47"/>
      <c r="D34" s="47"/>
      <c r="E34" s="258">
        <f>F268</f>
        <v>258.80342184440821</v>
      </c>
      <c r="F34" s="143">
        <f t="shared" si="0"/>
        <v>1.9347258480553665E-2</v>
      </c>
      <c r="G34" s="6"/>
    </row>
    <row r="35" spans="1:7" s="11" customFormat="1" ht="15.75" customHeight="1">
      <c r="A35" s="135" t="str">
        <f>A273</f>
        <v xml:space="preserve">4. Ferramentas, Materiais de Consumo </v>
      </c>
      <c r="B35" s="136"/>
      <c r="C35" s="126"/>
      <c r="D35" s="126"/>
      <c r="E35" s="257">
        <f>+F281</f>
        <v>15.999999999999998</v>
      </c>
      <c r="F35" s="127">
        <f t="shared" si="0"/>
        <v>1.1961052658529482E-3</v>
      </c>
      <c r="G35" s="44"/>
    </row>
    <row r="36" spans="1:7" s="11" customFormat="1" ht="15.75" customHeight="1">
      <c r="A36" s="371" t="str">
        <f>A283</f>
        <v xml:space="preserve">5. Administração Local </v>
      </c>
      <c r="B36" s="136"/>
      <c r="C36" s="126"/>
      <c r="D36" s="126"/>
      <c r="E36" s="257">
        <f>F290</f>
        <v>610.83333333333337</v>
      </c>
      <c r="F36" s="127">
        <f t="shared" si="0"/>
        <v>4.5663810409906837E-2</v>
      </c>
      <c r="G36" s="44"/>
    </row>
    <row r="37" spans="1:7" s="11" customFormat="1" ht="15.75" customHeight="1">
      <c r="A37" s="135" t="str">
        <f>A292</f>
        <v>6. Monitoramento da Frota</v>
      </c>
      <c r="B37" s="136"/>
      <c r="C37" s="126"/>
      <c r="D37" s="126"/>
      <c r="E37" s="257">
        <f>+F301</f>
        <v>57.272727272727273</v>
      </c>
      <c r="F37" s="127">
        <f t="shared" si="0"/>
        <v>4.281513167541804E-3</v>
      </c>
      <c r="G37" s="44"/>
    </row>
    <row r="38" spans="1:7" s="11" customFormat="1" ht="15.75" customHeight="1" thickBot="1">
      <c r="A38" s="135" t="str">
        <f>A305</f>
        <v>7. Benefícios e Despesas Indiretas - BDI</v>
      </c>
      <c r="B38" s="136"/>
      <c r="C38" s="126"/>
      <c r="D38" s="126"/>
      <c r="E38" s="259">
        <f>+F311</f>
        <v>2555.8875018738981</v>
      </c>
      <c r="F38" s="127">
        <f t="shared" si="0"/>
        <v>0.1910694062449442</v>
      </c>
      <c r="G38" s="44"/>
    </row>
    <row r="39" spans="1:7" s="4" customFormat="1" ht="15.75" customHeight="1" thickBot="1">
      <c r="A39" s="42" t="s">
        <v>229</v>
      </c>
      <c r="B39" s="43"/>
      <c r="C39" s="26"/>
      <c r="D39" s="26"/>
      <c r="E39" s="114">
        <f>E17+E26+E27+E35+E37+E38+E36</f>
        <v>13376.749067809114</v>
      </c>
      <c r="F39" s="142">
        <f>F17+F26+F27+F35+F37+F38+F36</f>
        <v>0.99999999999999989</v>
      </c>
      <c r="G39" s="6"/>
    </row>
    <row r="41" spans="1:7" ht="13.8" thickBot="1"/>
    <row r="42" spans="1:7" s="4" customFormat="1" ht="15" customHeight="1" thickBot="1">
      <c r="A42" s="478" t="s">
        <v>96</v>
      </c>
      <c r="B42" s="479"/>
      <c r="C42" s="479"/>
      <c r="D42" s="479"/>
      <c r="E42" s="480"/>
      <c r="F42" s="10"/>
      <c r="G42" s="6"/>
    </row>
    <row r="43" spans="1:7" s="4" customFormat="1" ht="15" customHeight="1" thickBot="1">
      <c r="A43" s="475" t="s">
        <v>41</v>
      </c>
      <c r="B43" s="476"/>
      <c r="C43" s="476"/>
      <c r="D43" s="477"/>
      <c r="E43" s="48" t="s">
        <v>42</v>
      </c>
      <c r="F43" s="10"/>
      <c r="G43" s="6"/>
    </row>
    <row r="44" spans="1:7" s="4" customFormat="1" ht="15" customHeight="1">
      <c r="A44" s="73" t="str">
        <f>+A58</f>
        <v>1.1. Coletor Turno Dia</v>
      </c>
      <c r="B44" s="74"/>
      <c r="C44" s="74"/>
      <c r="D44" s="75"/>
      <c r="E44" s="76">
        <f>C68</f>
        <v>2</v>
      </c>
      <c r="F44" s="10"/>
      <c r="G44" s="6"/>
    </row>
    <row r="45" spans="1:7" s="4" customFormat="1" ht="15" hidden="1" customHeight="1">
      <c r="A45" s="67" t="str">
        <f>+A71</f>
        <v>1.2. Coletor Turno Noite</v>
      </c>
      <c r="B45" s="66"/>
      <c r="C45" s="66"/>
      <c r="D45" s="77"/>
      <c r="E45" s="70">
        <f>C87</f>
        <v>0</v>
      </c>
      <c r="F45" s="10"/>
      <c r="G45" s="6"/>
    </row>
    <row r="46" spans="1:7" s="4" customFormat="1" ht="15" customHeight="1">
      <c r="A46" s="67" t="str">
        <f>+A90</f>
        <v>1.2. Motorista Turno do Dia</v>
      </c>
      <c r="B46" s="66"/>
      <c r="C46" s="66"/>
      <c r="D46" s="77"/>
      <c r="E46" s="70">
        <f>C102</f>
        <v>1</v>
      </c>
      <c r="F46" s="10"/>
      <c r="G46" s="6"/>
    </row>
    <row r="47" spans="1:7" s="4" customFormat="1" ht="15" customHeight="1">
      <c r="A47" s="67" t="str">
        <f>+A106</f>
        <v>1.3. Encarregado/Supervisor</v>
      </c>
      <c r="B47" s="66"/>
      <c r="C47" s="66"/>
      <c r="D47" s="77"/>
      <c r="E47" s="70">
        <f>C124</f>
        <v>1</v>
      </c>
      <c r="F47" s="10"/>
      <c r="G47" s="6"/>
    </row>
    <row r="48" spans="1:7" s="4" customFormat="1" ht="15" customHeight="1" thickBot="1">
      <c r="A48" s="71" t="s">
        <v>60</v>
      </c>
      <c r="B48" s="72"/>
      <c r="C48" s="72"/>
      <c r="D48" s="78"/>
      <c r="E48" s="79">
        <f>SUM(E44:E47)</f>
        <v>4</v>
      </c>
      <c r="F48" s="10"/>
      <c r="G48" s="6"/>
    </row>
    <row r="49" spans="1:7" s="4" customFormat="1" ht="15" customHeight="1" thickBot="1">
      <c r="A49" s="128"/>
      <c r="B49" s="129"/>
      <c r="C49" s="59"/>
      <c r="D49" s="59"/>
      <c r="E49" s="130"/>
      <c r="F49" s="10"/>
      <c r="G49" s="6"/>
    </row>
    <row r="50" spans="1:7" s="4" customFormat="1" ht="15" customHeight="1">
      <c r="A50" s="465" t="s">
        <v>58</v>
      </c>
      <c r="B50" s="466"/>
      <c r="C50" s="466"/>
      <c r="D50" s="466"/>
      <c r="E50" s="48" t="s">
        <v>42</v>
      </c>
      <c r="F50" s="9"/>
      <c r="G50" s="6"/>
    </row>
    <row r="51" spans="1:7" s="4" customFormat="1" ht="15" customHeight="1" thickBot="1">
      <c r="A51" s="131" t="str">
        <f>+A192</f>
        <v xml:space="preserve">3.1. Veículo Coletor com caçamba </v>
      </c>
      <c r="B51" s="132"/>
      <c r="C51" s="132"/>
      <c r="D51" s="133"/>
      <c r="E51" s="134">
        <f>C208</f>
        <v>1</v>
      </c>
      <c r="F51" s="9"/>
      <c r="G51" s="6"/>
    </row>
    <row r="52" spans="1:7" s="4" customFormat="1" ht="15" customHeight="1">
      <c r="A52" s="59"/>
      <c r="B52" s="59"/>
      <c r="C52" s="59"/>
      <c r="D52" s="54"/>
      <c r="E52" s="250"/>
      <c r="F52" s="9"/>
      <c r="G52" s="6"/>
    </row>
    <row r="53" spans="1:7" s="4" customFormat="1" ht="13.8" thickBot="1">
      <c r="A53" s="59"/>
      <c r="B53" s="59"/>
      <c r="C53" s="59"/>
      <c r="D53" s="54"/>
      <c r="E53" s="68"/>
      <c r="F53" s="9"/>
      <c r="G53" s="6"/>
    </row>
    <row r="54" spans="1:7" s="11" customFormat="1" ht="15.75" customHeight="1" thickBot="1">
      <c r="A54" s="261" t="s">
        <v>187</v>
      </c>
      <c r="B54" s="295">
        <f>'8. Horários'!G25/'8. Horários'!G26</f>
        <v>0.47727272727272729</v>
      </c>
      <c r="C54" s="35"/>
      <c r="D54" s="34"/>
      <c r="E54" s="155"/>
      <c r="G54" s="44"/>
    </row>
    <row r="55" spans="1:7" s="4" customFormat="1" ht="15.75" customHeight="1">
      <c r="A55" s="59"/>
      <c r="B55" s="59"/>
      <c r="C55" s="59"/>
      <c r="D55" s="54"/>
      <c r="E55" s="68"/>
      <c r="F55" s="9"/>
      <c r="G55" s="6"/>
    </row>
    <row r="56" spans="1:7" ht="13.2" customHeight="1">
      <c r="A56" s="11" t="s">
        <v>49</v>
      </c>
    </row>
    <row r="57" spans="1:7" ht="11.25" customHeight="1"/>
    <row r="58" spans="1:7" ht="13.95" customHeight="1" thickBot="1">
      <c r="A58" s="9" t="s">
        <v>99</v>
      </c>
    </row>
    <row r="59" spans="1:7" ht="13.95" customHeight="1" thickBot="1">
      <c r="A59" s="60" t="s">
        <v>64</v>
      </c>
      <c r="B59" s="61" t="s">
        <v>65</v>
      </c>
      <c r="C59" s="61" t="s">
        <v>42</v>
      </c>
      <c r="D59" s="62" t="s">
        <v>225</v>
      </c>
      <c r="E59" s="62" t="s">
        <v>66</v>
      </c>
      <c r="F59" s="63" t="s">
        <v>67</v>
      </c>
    </row>
    <row r="60" spans="1:7" ht="13.2" customHeight="1">
      <c r="A60" s="13" t="s">
        <v>207</v>
      </c>
      <c r="B60" s="14" t="s">
        <v>8</v>
      </c>
      <c r="C60" s="14">
        <v>1</v>
      </c>
      <c r="D60" s="294">
        <v>1397.27</v>
      </c>
      <c r="E60" s="15">
        <f>C60*D60</f>
        <v>1397.27</v>
      </c>
    </row>
    <row r="61" spans="1:7" hidden="1">
      <c r="A61" s="16" t="s">
        <v>36</v>
      </c>
      <c r="B61" s="17" t="s">
        <v>0</v>
      </c>
      <c r="C61" s="88"/>
      <c r="D61" s="18">
        <f>D60/220*2</f>
        <v>12.702454545454545</v>
      </c>
      <c r="E61" s="18">
        <f>C61*D61</f>
        <v>0</v>
      </c>
    </row>
    <row r="62" spans="1:7" ht="13.2" hidden="1" customHeight="1">
      <c r="A62" s="16" t="s">
        <v>37</v>
      </c>
      <c r="B62" s="17" t="s">
        <v>0</v>
      </c>
      <c r="C62" s="88"/>
      <c r="D62" s="18">
        <f>D60/220*1.5</f>
        <v>9.5268409090909092</v>
      </c>
      <c r="E62" s="18">
        <f>C62*D62</f>
        <v>0</v>
      </c>
    </row>
    <row r="63" spans="1:7" ht="13.2" hidden="1" customHeight="1">
      <c r="A63" s="16" t="s">
        <v>211</v>
      </c>
      <c r="B63" s="17" t="s">
        <v>35</v>
      </c>
      <c r="D63" s="18">
        <f>63/302*(SUM(E61:E62))</f>
        <v>0</v>
      </c>
      <c r="E63" s="18">
        <f>D63</f>
        <v>0</v>
      </c>
    </row>
    <row r="64" spans="1:7">
      <c r="A64" s="16" t="s">
        <v>1</v>
      </c>
      <c r="B64" s="17" t="s">
        <v>2</v>
      </c>
      <c r="C64" s="17">
        <v>40</v>
      </c>
      <c r="D64" s="83">
        <f>SUM(E60:E63)</f>
        <v>1397.27</v>
      </c>
      <c r="E64" s="18">
        <f>C64*D64/100</f>
        <v>558.90800000000002</v>
      </c>
    </row>
    <row r="65" spans="1:8">
      <c r="A65" s="116" t="s">
        <v>3</v>
      </c>
      <c r="B65" s="117"/>
      <c r="C65" s="117"/>
      <c r="D65" s="118"/>
      <c r="E65" s="119">
        <f>SUM(E60:E64)</f>
        <v>1956.1779999999999</v>
      </c>
    </row>
    <row r="66" spans="1:8">
      <c r="A66" s="16" t="s">
        <v>4</v>
      </c>
      <c r="B66" s="17" t="s">
        <v>2</v>
      </c>
      <c r="C66" s="140">
        <f>'4.Enc Sociais'!$C$38*100</f>
        <v>69.828960000000009</v>
      </c>
      <c r="D66" s="18">
        <f>E65</f>
        <v>1956.1779999999999</v>
      </c>
      <c r="E66" s="18">
        <f>D66*C66/100</f>
        <v>1365.9787531488003</v>
      </c>
    </row>
    <row r="67" spans="1:8">
      <c r="A67" s="116" t="s">
        <v>74</v>
      </c>
      <c r="B67" s="117"/>
      <c r="C67" s="117"/>
      <c r="D67" s="118"/>
      <c r="E67" s="119">
        <f>E65+E66</f>
        <v>3322.1567531487999</v>
      </c>
    </row>
    <row r="68" spans="1:8" ht="13.8" thickBot="1">
      <c r="A68" s="16" t="s">
        <v>5</v>
      </c>
      <c r="B68" s="17" t="s">
        <v>6</v>
      </c>
      <c r="C68" s="86">
        <v>2</v>
      </c>
      <c r="D68" s="18">
        <f>E67</f>
        <v>3322.1567531487999</v>
      </c>
      <c r="E68" s="18">
        <f>C68*D68</f>
        <v>6644.3135062975998</v>
      </c>
      <c r="G68" s="6"/>
      <c r="H68" s="317"/>
    </row>
    <row r="69" spans="1:8" ht="13.95" customHeight="1" thickBot="1">
      <c r="A69" s="7" t="s">
        <v>408</v>
      </c>
      <c r="D69" s="122" t="s">
        <v>186</v>
      </c>
      <c r="E69" s="296">
        <f>$B$54</f>
        <v>0.47727272727272729</v>
      </c>
      <c r="F69" s="123">
        <f>E68*E69</f>
        <v>3171.1496280056726</v>
      </c>
      <c r="G69" s="6"/>
      <c r="H69" s="317"/>
    </row>
    <row r="70" spans="1:8" ht="11.25" customHeight="1">
      <c r="A70" s="7"/>
    </row>
    <row r="71" spans="1:8" hidden="1">
      <c r="A71" s="9" t="s">
        <v>89</v>
      </c>
    </row>
    <row r="72" spans="1:8" ht="13.8" hidden="1" thickBot="1">
      <c r="A72" s="60" t="s">
        <v>64</v>
      </c>
      <c r="B72" s="61" t="s">
        <v>65</v>
      </c>
      <c r="C72" s="61" t="s">
        <v>42</v>
      </c>
      <c r="D72" s="62" t="s">
        <v>225</v>
      </c>
      <c r="E72" s="62" t="s">
        <v>66</v>
      </c>
      <c r="F72" s="63" t="s">
        <v>67</v>
      </c>
    </row>
    <row r="73" spans="1:8" hidden="1">
      <c r="A73" s="13" t="s">
        <v>207</v>
      </c>
      <c r="B73" s="14" t="s">
        <v>8</v>
      </c>
      <c r="C73" s="14">
        <v>1</v>
      </c>
      <c r="D73" s="15">
        <f>D60</f>
        <v>1397.27</v>
      </c>
      <c r="E73" s="15">
        <f>C73*D73</f>
        <v>1397.27</v>
      </c>
    </row>
    <row r="74" spans="1:8" hidden="1">
      <c r="A74" s="16" t="s">
        <v>7</v>
      </c>
      <c r="B74" s="17" t="s">
        <v>97</v>
      </c>
      <c r="C74" s="88"/>
      <c r="D74" s="18"/>
      <c r="E74" s="18"/>
    </row>
    <row r="75" spans="1:8" hidden="1">
      <c r="A75" s="16"/>
      <c r="B75" s="17" t="s">
        <v>100</v>
      </c>
      <c r="C75" s="120">
        <f>C74*8/7</f>
        <v>0</v>
      </c>
      <c r="D75" s="18">
        <f>D73/220*0.2</f>
        <v>1.2702454545454547</v>
      </c>
      <c r="E75" s="18">
        <f>C74*D75</f>
        <v>0</v>
      </c>
    </row>
    <row r="76" spans="1:8" hidden="1">
      <c r="A76" s="16" t="s">
        <v>36</v>
      </c>
      <c r="B76" s="17" t="s">
        <v>0</v>
      </c>
      <c r="C76" s="88"/>
      <c r="D76" s="18">
        <f>D73/220*2</f>
        <v>12.702454545454545</v>
      </c>
      <c r="E76" s="18">
        <f>C76*D76</f>
        <v>0</v>
      </c>
    </row>
    <row r="77" spans="1:8" hidden="1">
      <c r="A77" s="16" t="s">
        <v>98</v>
      </c>
      <c r="B77" s="17" t="s">
        <v>97</v>
      </c>
      <c r="C77" s="88"/>
      <c r="D77" s="18"/>
      <c r="E77" s="18"/>
    </row>
    <row r="78" spans="1:8" hidden="1">
      <c r="A78" s="16"/>
      <c r="B78" s="17" t="s">
        <v>100</v>
      </c>
      <c r="C78" s="120">
        <f>C77*8/7</f>
        <v>0</v>
      </c>
      <c r="D78" s="18">
        <f>D73/220*2*1.2</f>
        <v>15.242945454545453</v>
      </c>
      <c r="E78" s="18">
        <f>C78*D78</f>
        <v>0</v>
      </c>
    </row>
    <row r="79" spans="1:8" hidden="1">
      <c r="A79" s="16" t="s">
        <v>37</v>
      </c>
      <c r="B79" s="17" t="s">
        <v>0</v>
      </c>
      <c r="C79" s="88"/>
      <c r="D79" s="18">
        <f>D73/220*1.5</f>
        <v>9.5268409090909092</v>
      </c>
      <c r="E79" s="18">
        <f>C79*D79</f>
        <v>0</v>
      </c>
    </row>
    <row r="80" spans="1:8" hidden="1">
      <c r="A80" s="16" t="s">
        <v>209</v>
      </c>
      <c r="B80" s="17" t="s">
        <v>97</v>
      </c>
      <c r="C80" s="88"/>
      <c r="D80" s="18"/>
      <c r="E80" s="18"/>
    </row>
    <row r="81" spans="1:7" hidden="1">
      <c r="A81" s="16"/>
      <c r="B81" s="17" t="s">
        <v>100</v>
      </c>
      <c r="C81" s="18">
        <f>C80*8/7</f>
        <v>0</v>
      </c>
      <c r="D81" s="18">
        <f>D73/220*1.5*1.2</f>
        <v>11.43220909090909</v>
      </c>
      <c r="E81" s="18">
        <f>C81*D81</f>
        <v>0</v>
      </c>
    </row>
    <row r="82" spans="1:7" ht="13.2" hidden="1" customHeight="1">
      <c r="A82" s="16" t="s">
        <v>211</v>
      </c>
      <c r="B82" s="17" t="s">
        <v>35</v>
      </c>
      <c r="D82" s="18">
        <f>63/302*(SUM(E76:E81))</f>
        <v>0</v>
      </c>
      <c r="E82" s="18">
        <f>D82</f>
        <v>0</v>
      </c>
    </row>
    <row r="83" spans="1:7" hidden="1">
      <c r="A83" s="16" t="s">
        <v>1</v>
      </c>
      <c r="B83" s="17" t="s">
        <v>2</v>
      </c>
      <c r="C83" s="17">
        <f>+C64</f>
        <v>40</v>
      </c>
      <c r="D83" s="83">
        <f>SUM(E73:E82)</f>
        <v>1397.27</v>
      </c>
      <c r="E83" s="18">
        <f>C83*D83/100</f>
        <v>558.90800000000002</v>
      </c>
    </row>
    <row r="84" spans="1:7" hidden="1">
      <c r="A84" s="116" t="s">
        <v>3</v>
      </c>
      <c r="B84" s="117"/>
      <c r="C84" s="117"/>
      <c r="D84" s="118"/>
      <c r="E84" s="119">
        <f>SUM(E73:E83)</f>
        <v>1956.1779999999999</v>
      </c>
    </row>
    <row r="85" spans="1:7" hidden="1">
      <c r="A85" s="16" t="s">
        <v>4</v>
      </c>
      <c r="B85" s="17" t="s">
        <v>2</v>
      </c>
      <c r="C85" s="140">
        <f>'4.Enc Sociais'!$C$38*100</f>
        <v>69.828960000000009</v>
      </c>
      <c r="D85" s="18">
        <f>E84</f>
        <v>1956.1779999999999</v>
      </c>
      <c r="E85" s="18">
        <f>D85*C85/100</f>
        <v>1365.9787531488003</v>
      </c>
    </row>
    <row r="86" spans="1:7" hidden="1">
      <c r="A86" s="116" t="s">
        <v>74</v>
      </c>
      <c r="B86" s="117"/>
      <c r="C86" s="117"/>
      <c r="D86" s="118"/>
      <c r="E86" s="119">
        <f>E84+E85</f>
        <v>3322.1567531487999</v>
      </c>
    </row>
    <row r="87" spans="1:7" hidden="1">
      <c r="A87" s="16" t="s">
        <v>5</v>
      </c>
      <c r="B87" s="17" t="s">
        <v>6</v>
      </c>
      <c r="C87" s="86"/>
      <c r="D87" s="18">
        <f>E86</f>
        <v>3322.1567531487999</v>
      </c>
      <c r="E87" s="18">
        <f>C87*D87</f>
        <v>0</v>
      </c>
    </row>
    <row r="88" spans="1:7" ht="13.8" hidden="1" thickBot="1">
      <c r="D88" s="122" t="s">
        <v>186</v>
      </c>
      <c r="E88" s="50">
        <f>$B$54</f>
        <v>0.47727272727272729</v>
      </c>
      <c r="F88" s="123">
        <f>E87*E88</f>
        <v>0</v>
      </c>
    </row>
    <row r="89" spans="1:7" ht="11.25" customHeight="1"/>
    <row r="90" spans="1:7" ht="13.8" thickBot="1">
      <c r="A90" s="382" t="s">
        <v>400</v>
      </c>
    </row>
    <row r="91" spans="1:7" s="12" customFormat="1" ht="13.2" customHeight="1" thickBot="1">
      <c r="A91" s="60" t="s">
        <v>64</v>
      </c>
      <c r="B91" s="61" t="s">
        <v>65</v>
      </c>
      <c r="C91" s="61" t="s">
        <v>42</v>
      </c>
      <c r="D91" s="62" t="s">
        <v>225</v>
      </c>
      <c r="E91" s="62" t="s">
        <v>66</v>
      </c>
      <c r="F91" s="63" t="s">
        <v>67</v>
      </c>
      <c r="G91" s="10"/>
    </row>
    <row r="92" spans="1:7">
      <c r="A92" s="288" t="s">
        <v>262</v>
      </c>
      <c r="B92" s="14" t="s">
        <v>8</v>
      </c>
      <c r="C92" s="14">
        <v>1</v>
      </c>
      <c r="D92" s="294">
        <v>1804.93</v>
      </c>
      <c r="E92" s="15">
        <f>C92*D92</f>
        <v>1804.93</v>
      </c>
    </row>
    <row r="93" spans="1:7">
      <c r="A93" s="288" t="s">
        <v>263</v>
      </c>
      <c r="B93" s="14" t="s">
        <v>8</v>
      </c>
      <c r="C93" s="14">
        <v>1</v>
      </c>
      <c r="D93" s="87">
        <v>1100</v>
      </c>
      <c r="E93" s="15"/>
    </row>
    <row r="94" spans="1:7" hidden="1">
      <c r="A94" s="16" t="s">
        <v>36</v>
      </c>
      <c r="B94" s="17" t="s">
        <v>0</v>
      </c>
      <c r="C94" s="88"/>
      <c r="D94" s="18">
        <f>D92/220*2</f>
        <v>16.408454545454546</v>
      </c>
      <c r="E94" s="18">
        <f>C94*D94</f>
        <v>0</v>
      </c>
    </row>
    <row r="95" spans="1:7" hidden="1">
      <c r="A95" s="16" t="s">
        <v>37</v>
      </c>
      <c r="B95" s="17" t="s">
        <v>0</v>
      </c>
      <c r="C95" s="88"/>
      <c r="D95" s="18">
        <f>D92/220*1.5</f>
        <v>12.30634090909091</v>
      </c>
      <c r="E95" s="18">
        <f>C95*D95</f>
        <v>0</v>
      </c>
    </row>
    <row r="96" spans="1:7" ht="13.2" hidden="1" customHeight="1">
      <c r="A96" s="16" t="s">
        <v>211</v>
      </c>
      <c r="B96" s="17" t="s">
        <v>35</v>
      </c>
      <c r="D96" s="18">
        <f>63/302*(SUM(E94:E95))</f>
        <v>0</v>
      </c>
      <c r="E96" s="18">
        <f>D96</f>
        <v>0</v>
      </c>
    </row>
    <row r="97" spans="1:8">
      <c r="A97" s="16" t="s">
        <v>208</v>
      </c>
      <c r="B97" s="17"/>
      <c r="C97" s="90">
        <v>1</v>
      </c>
      <c r="D97" s="18"/>
      <c r="E97" s="18"/>
    </row>
    <row r="98" spans="1:8">
      <c r="A98" s="16" t="s">
        <v>1</v>
      </c>
      <c r="B98" s="17" t="s">
        <v>2</v>
      </c>
      <c r="C98" s="86">
        <v>20</v>
      </c>
      <c r="D98" s="83">
        <f>IF(C97=2,SUM(E92:E96),IF(C97=1,(SUM(E92:E96))*D93/D92,0))</f>
        <v>1100</v>
      </c>
      <c r="E98" s="18">
        <f>C98*D98/100</f>
        <v>220</v>
      </c>
    </row>
    <row r="99" spans="1:8" s="11" customFormat="1">
      <c r="A99" s="103" t="s">
        <v>3</v>
      </c>
      <c r="B99" s="117"/>
      <c r="C99" s="117"/>
      <c r="D99" s="118"/>
      <c r="E99" s="105">
        <f>SUM(E92:E98)</f>
        <v>2024.93</v>
      </c>
      <c r="F99" s="44"/>
      <c r="G99" s="44"/>
    </row>
    <row r="100" spans="1:8">
      <c r="A100" s="16" t="s">
        <v>4</v>
      </c>
      <c r="B100" s="17" t="s">
        <v>2</v>
      </c>
      <c r="C100" s="140">
        <f>'4.Enc Sociais'!$C$38*100</f>
        <v>69.828960000000009</v>
      </c>
      <c r="D100" s="18">
        <f>E99</f>
        <v>2024.93</v>
      </c>
      <c r="E100" s="18">
        <f>D100*C100/100</f>
        <v>1413.9875597280002</v>
      </c>
    </row>
    <row r="101" spans="1:8" s="11" customFormat="1">
      <c r="A101" s="103" t="s">
        <v>245</v>
      </c>
      <c r="B101" s="267"/>
      <c r="C101" s="267"/>
      <c r="D101" s="268"/>
      <c r="E101" s="105">
        <f>E99+E100</f>
        <v>3438.917559728</v>
      </c>
      <c r="F101" s="44"/>
      <c r="G101" s="44"/>
    </row>
    <row r="102" spans="1:8" ht="13.8" thickBot="1">
      <c r="A102" s="16" t="s">
        <v>5</v>
      </c>
      <c r="B102" s="17" t="s">
        <v>6</v>
      </c>
      <c r="C102" s="86">
        <v>1</v>
      </c>
      <c r="D102" s="18">
        <f>E101</f>
        <v>3438.917559728</v>
      </c>
      <c r="E102" s="18">
        <f>C102*D102</f>
        <v>3438.917559728</v>
      </c>
    </row>
    <row r="103" spans="1:8" ht="13.8" thickBot="1">
      <c r="A103" s="7" t="s">
        <v>521</v>
      </c>
      <c r="D103" s="122" t="s">
        <v>186</v>
      </c>
      <c r="E103" s="296">
        <f>'8. Horários'!G27</f>
        <v>0.47727272727272729</v>
      </c>
      <c r="F103" s="123">
        <f>E102*E103</f>
        <v>1641.3015625974547</v>
      </c>
      <c r="H103" s="317"/>
    </row>
    <row r="104" spans="1:8" ht="11.25" customHeight="1">
      <c r="A104" s="7" t="s">
        <v>406</v>
      </c>
    </row>
    <row r="105" spans="1:8" ht="11.25" customHeight="1">
      <c r="A105" s="7"/>
    </row>
    <row r="106" spans="1:8" ht="13.8" thickBot="1">
      <c r="A106" s="7" t="s">
        <v>401</v>
      </c>
    </row>
    <row r="107" spans="1:8" ht="13.8" thickBot="1">
      <c r="A107" s="60" t="s">
        <v>64</v>
      </c>
      <c r="B107" s="61" t="s">
        <v>65</v>
      </c>
      <c r="C107" s="61" t="s">
        <v>42</v>
      </c>
      <c r="D107" s="62" t="s">
        <v>225</v>
      </c>
      <c r="E107" s="62" t="s">
        <v>66</v>
      </c>
      <c r="F107" s="63" t="s">
        <v>67</v>
      </c>
    </row>
    <row r="108" spans="1:8">
      <c r="A108" s="288" t="s">
        <v>262</v>
      </c>
      <c r="B108" s="14" t="s">
        <v>8</v>
      </c>
      <c r="C108" s="14">
        <v>1</v>
      </c>
      <c r="D108" s="87">
        <v>1755.61</v>
      </c>
      <c r="E108" s="15">
        <f>C108*D108</f>
        <v>1755.61</v>
      </c>
    </row>
    <row r="109" spans="1:8" hidden="1">
      <c r="A109" s="288" t="s">
        <v>263</v>
      </c>
      <c r="B109" s="14" t="s">
        <v>8</v>
      </c>
      <c r="C109" s="14">
        <v>1</v>
      </c>
      <c r="D109" s="18">
        <f>D93</f>
        <v>1100</v>
      </c>
      <c r="E109" s="18"/>
    </row>
    <row r="110" spans="1:8" hidden="1">
      <c r="A110" s="16" t="s">
        <v>7</v>
      </c>
      <c r="B110" s="17" t="s">
        <v>97</v>
      </c>
      <c r="C110" s="88"/>
      <c r="D110" s="16"/>
      <c r="E110" s="16"/>
    </row>
    <row r="111" spans="1:8" hidden="1">
      <c r="A111" s="16"/>
      <c r="B111" s="17" t="s">
        <v>100</v>
      </c>
      <c r="C111" s="18">
        <f>C110*8/7</f>
        <v>0</v>
      </c>
      <c r="D111" s="18">
        <f>D108/220*0.2</f>
        <v>1.5960090909090909</v>
      </c>
      <c r="E111" s="18">
        <f>C110*D111</f>
        <v>0</v>
      </c>
    </row>
    <row r="112" spans="1:8" hidden="1">
      <c r="A112" s="16" t="s">
        <v>36</v>
      </c>
      <c r="B112" s="17" t="s">
        <v>0</v>
      </c>
      <c r="C112" s="88"/>
      <c r="D112" s="18">
        <f>D108/220*2</f>
        <v>15.960090909090908</v>
      </c>
      <c r="E112" s="18">
        <f>C112*D112</f>
        <v>0</v>
      </c>
      <c r="G112" s="10" t="s">
        <v>241</v>
      </c>
    </row>
    <row r="113" spans="1:7" hidden="1">
      <c r="A113" s="16" t="s">
        <v>98</v>
      </c>
      <c r="B113" s="17" t="s">
        <v>97</v>
      </c>
      <c r="C113" s="88"/>
      <c r="D113" s="18"/>
      <c r="E113" s="18"/>
      <c r="G113" s="10" t="s">
        <v>242</v>
      </c>
    </row>
    <row r="114" spans="1:7" hidden="1">
      <c r="A114" s="16"/>
      <c r="B114" s="17" t="s">
        <v>100</v>
      </c>
      <c r="C114" s="18">
        <f>C113*8/7</f>
        <v>0</v>
      </c>
      <c r="D114" s="18">
        <f>D108/220*2*1.2</f>
        <v>19.152109090909089</v>
      </c>
      <c r="E114" s="18">
        <f>C114*D114</f>
        <v>0</v>
      </c>
      <c r="G114" s="10" t="s">
        <v>242</v>
      </c>
    </row>
    <row r="115" spans="1:7" hidden="1">
      <c r="A115" s="16" t="s">
        <v>37</v>
      </c>
      <c r="B115" s="17" t="s">
        <v>0</v>
      </c>
      <c r="C115" s="88"/>
      <c r="D115" s="18">
        <f>D108/220*1.5</f>
        <v>11.970068181818181</v>
      </c>
      <c r="E115" s="18">
        <f>C115*D115</f>
        <v>0</v>
      </c>
      <c r="G115" s="10" t="s">
        <v>243</v>
      </c>
    </row>
    <row r="116" spans="1:7" hidden="1">
      <c r="A116" s="16" t="s">
        <v>209</v>
      </c>
      <c r="B116" s="17" t="s">
        <v>97</v>
      </c>
      <c r="C116" s="88"/>
      <c r="D116" s="18"/>
      <c r="E116" s="18"/>
      <c r="G116" s="10" t="s">
        <v>244</v>
      </c>
    </row>
    <row r="117" spans="1:7" hidden="1">
      <c r="A117" s="16"/>
      <c r="B117" s="17" t="s">
        <v>100</v>
      </c>
      <c r="C117" s="18">
        <f>C116*8/7</f>
        <v>0</v>
      </c>
      <c r="D117" s="18">
        <f>D108/220*1.5*1.2</f>
        <v>14.364081818181818</v>
      </c>
      <c r="E117" s="18">
        <f>C117*D117</f>
        <v>0</v>
      </c>
      <c r="G117" s="10" t="s">
        <v>244</v>
      </c>
    </row>
    <row r="118" spans="1:7" ht="13.2" hidden="1" customHeight="1">
      <c r="A118" s="16" t="s">
        <v>211</v>
      </c>
      <c r="B118" s="17" t="s">
        <v>35</v>
      </c>
      <c r="D118" s="18">
        <f>63/302*(SUM(E112:E117))</f>
        <v>0</v>
      </c>
      <c r="E118" s="18">
        <f>D118</f>
        <v>0</v>
      </c>
      <c r="G118" s="10" t="s">
        <v>210</v>
      </c>
    </row>
    <row r="119" spans="1:7" hidden="1">
      <c r="A119" s="16" t="s">
        <v>208</v>
      </c>
      <c r="B119" s="17"/>
      <c r="C119" s="90"/>
      <c r="D119" s="18"/>
      <c r="E119" s="18"/>
    </row>
    <row r="120" spans="1:7" hidden="1">
      <c r="A120" s="16" t="s">
        <v>1</v>
      </c>
      <c r="B120" s="17" t="s">
        <v>2</v>
      </c>
      <c r="C120" s="83">
        <f>+C98</f>
        <v>20</v>
      </c>
      <c r="D120" s="83">
        <f>IF(C119=2,SUM(E108:E118),IF(C119=1,SUM(E108:E118)*D109/D108,0))</f>
        <v>0</v>
      </c>
      <c r="E120" s="18">
        <f>C120*D120/100</f>
        <v>0</v>
      </c>
    </row>
    <row r="121" spans="1:7" s="11" customFormat="1">
      <c r="A121" s="116" t="s">
        <v>3</v>
      </c>
      <c r="B121" s="117"/>
      <c r="C121" s="117"/>
      <c r="D121" s="118"/>
      <c r="E121" s="119">
        <f>SUM(E108:E120)</f>
        <v>1755.61</v>
      </c>
      <c r="F121" s="44"/>
      <c r="G121" s="44"/>
    </row>
    <row r="122" spans="1:7">
      <c r="A122" s="16" t="s">
        <v>4</v>
      </c>
      <c r="B122" s="17" t="s">
        <v>2</v>
      </c>
      <c r="C122" s="140">
        <f>'4.Enc Sociais'!$C$38*100</f>
        <v>69.828960000000009</v>
      </c>
      <c r="D122" s="18">
        <f>E121</f>
        <v>1755.61</v>
      </c>
      <c r="E122" s="18">
        <f>D122*C122/100</f>
        <v>1225.924204656</v>
      </c>
    </row>
    <row r="123" spans="1:7" s="11" customFormat="1">
      <c r="A123" s="116" t="s">
        <v>385</v>
      </c>
      <c r="B123" s="117"/>
      <c r="C123" s="117"/>
      <c r="D123" s="118"/>
      <c r="E123" s="119">
        <f>E121+E122</f>
        <v>2981.5342046559999</v>
      </c>
      <c r="F123" s="44"/>
      <c r="G123" s="44"/>
    </row>
    <row r="124" spans="1:7" ht="13.8" thickBot="1">
      <c r="A124" s="16" t="s">
        <v>5</v>
      </c>
      <c r="B124" s="17" t="s">
        <v>6</v>
      </c>
      <c r="C124" s="86">
        <v>1</v>
      </c>
      <c r="D124" s="18">
        <f>E123</f>
        <v>2981.5342046559999</v>
      </c>
      <c r="E124" s="18">
        <f>C124*D124</f>
        <v>2981.5342046559999</v>
      </c>
    </row>
    <row r="125" spans="1:7" ht="13.8" thickBot="1">
      <c r="A125" s="11" t="s">
        <v>515</v>
      </c>
      <c r="D125" s="122" t="s">
        <v>186</v>
      </c>
      <c r="E125" s="296">
        <f>6/44</f>
        <v>0.13636363636363635</v>
      </c>
      <c r="F125" s="123">
        <f>E124*E125</f>
        <v>406.57284608945452</v>
      </c>
    </row>
    <row r="126" spans="1:7" ht="11.25" customHeight="1">
      <c r="G126" s="9"/>
    </row>
    <row r="127" spans="1:7" ht="13.8" thickBot="1">
      <c r="A127" s="7" t="s">
        <v>402</v>
      </c>
      <c r="B127" s="93"/>
      <c r="D127" s="9"/>
      <c r="E127" s="317"/>
      <c r="G127" s="9"/>
    </row>
    <row r="128" spans="1:7" ht="13.8" thickBot="1">
      <c r="A128" s="60" t="s">
        <v>64</v>
      </c>
      <c r="B128" s="61" t="s">
        <v>65</v>
      </c>
      <c r="C128" s="61" t="s">
        <v>42</v>
      </c>
      <c r="D128" s="62" t="s">
        <v>225</v>
      </c>
      <c r="E128" s="62" t="s">
        <v>66</v>
      </c>
      <c r="F128" s="63" t="s">
        <v>67</v>
      </c>
      <c r="G128" s="9"/>
    </row>
    <row r="129" spans="1:7">
      <c r="A129" s="16" t="s">
        <v>90</v>
      </c>
      <c r="B129" s="17" t="s">
        <v>35</v>
      </c>
      <c r="C129" s="94">
        <v>1</v>
      </c>
      <c r="D129" s="92">
        <v>3.5</v>
      </c>
      <c r="E129" s="18"/>
      <c r="G129" s="9"/>
    </row>
    <row r="130" spans="1:7">
      <c r="A130" s="16" t="s">
        <v>91</v>
      </c>
      <c r="B130" s="17" t="s">
        <v>92</v>
      </c>
      <c r="C130" s="91">
        <v>13</v>
      </c>
      <c r="D130" s="18"/>
      <c r="E130" s="18"/>
      <c r="G130" s="9"/>
    </row>
    <row r="131" spans="1:7">
      <c r="A131" s="16" t="s">
        <v>75</v>
      </c>
      <c r="B131" s="17" t="s">
        <v>9</v>
      </c>
      <c r="C131" s="37">
        <f>$C$130*2*(C68+C87)</f>
        <v>52</v>
      </c>
      <c r="D131" s="15">
        <f>IFERROR((($C$130*2*$D$129)-(E60*0.06*C130/26))/($C$130*2),"-")</f>
        <v>1.8877653846153848</v>
      </c>
      <c r="E131" s="18">
        <f>IFERROR(C131*D131,"-")</f>
        <v>98.163800000000009</v>
      </c>
      <c r="G131" s="9"/>
    </row>
    <row r="132" spans="1:7" ht="13.8" thickBot="1">
      <c r="A132" s="13" t="s">
        <v>46</v>
      </c>
      <c r="B132" s="14" t="s">
        <v>9</v>
      </c>
      <c r="C132" s="37">
        <f>$C$130*2*(C102)</f>
        <v>26</v>
      </c>
      <c r="D132" s="15">
        <f>IFERROR((($C$130*2*$D$129)-(E92*0.06*C130/26))/($C$130*2),"-")</f>
        <v>1.4173884615384615</v>
      </c>
      <c r="E132" s="15">
        <f>IFERROR(C132*D132,"-")</f>
        <v>36.8521</v>
      </c>
      <c r="G132" s="9"/>
    </row>
    <row r="133" spans="1:7" ht="13.8" thickBot="1">
      <c r="F133" s="22">
        <f>SUM(E131:E132)</f>
        <v>135.01590000000002</v>
      </c>
      <c r="G133" s="9"/>
    </row>
    <row r="134" spans="1:7" ht="11.25" customHeight="1">
      <c r="G134" s="9"/>
    </row>
    <row r="135" spans="1:7" ht="13.8" thickBot="1">
      <c r="A135" s="382" t="s">
        <v>403</v>
      </c>
      <c r="F135" s="23"/>
      <c r="G135" s="9"/>
    </row>
    <row r="136" spans="1:7" ht="13.8" thickBot="1">
      <c r="A136" s="60" t="s">
        <v>64</v>
      </c>
      <c r="B136" s="61" t="s">
        <v>65</v>
      </c>
      <c r="C136" s="61" t="s">
        <v>42</v>
      </c>
      <c r="D136" s="62" t="s">
        <v>225</v>
      </c>
      <c r="E136" s="62" t="s">
        <v>66</v>
      </c>
      <c r="F136" s="63" t="s">
        <v>67</v>
      </c>
      <c r="G136" s="9"/>
    </row>
    <row r="137" spans="1:7">
      <c r="A137" s="16" t="str">
        <f>+A131</f>
        <v>Coletor</v>
      </c>
      <c r="B137" s="17" t="s">
        <v>10</v>
      </c>
      <c r="C137" s="102">
        <f>C130*(E44+E45)</f>
        <v>26</v>
      </c>
      <c r="D137" s="95">
        <f>18.2*0.81</f>
        <v>14.742000000000001</v>
      </c>
      <c r="E137" s="50">
        <f>C137*D137</f>
        <v>383.29200000000003</v>
      </c>
      <c r="F137" s="23"/>
      <c r="G137" s="9"/>
    </row>
    <row r="138" spans="1:7">
      <c r="A138" s="313" t="s">
        <v>46</v>
      </c>
      <c r="B138" s="17" t="s">
        <v>10</v>
      </c>
      <c r="C138" s="102">
        <f>C130*(E46)</f>
        <v>13</v>
      </c>
      <c r="D138" s="95">
        <f>11.98*0.8</f>
        <v>9.5840000000000014</v>
      </c>
      <c r="E138" s="50">
        <f>C138*D138</f>
        <v>124.59200000000001</v>
      </c>
      <c r="F138" s="23"/>
      <c r="G138" s="9"/>
    </row>
    <row r="139" spans="1:7" ht="13.8" thickBot="1">
      <c r="A139" s="313" t="s">
        <v>328</v>
      </c>
      <c r="B139" s="17" t="s">
        <v>10</v>
      </c>
      <c r="C139" s="102">
        <v>4</v>
      </c>
      <c r="D139" s="95">
        <f>18.2*0.81</f>
        <v>14.742000000000001</v>
      </c>
      <c r="E139" s="50">
        <f>C139*D139</f>
        <v>58.968000000000004</v>
      </c>
      <c r="F139" s="23"/>
      <c r="G139" s="9"/>
    </row>
    <row r="140" spans="1:7" ht="13.8" thickBot="1">
      <c r="F140" s="22">
        <f>SUM(E137:E139)</f>
        <v>566.85199999999998</v>
      </c>
      <c r="G140" s="9"/>
    </row>
    <row r="141" spans="1:7">
      <c r="G141" s="9"/>
    </row>
    <row r="142" spans="1:7" ht="13.8" thickBot="1">
      <c r="A142" s="7" t="s">
        <v>404</v>
      </c>
      <c r="F142" s="23"/>
      <c r="G142" s="9"/>
    </row>
    <row r="143" spans="1:7" ht="13.8" thickBot="1">
      <c r="A143" s="60" t="s">
        <v>64</v>
      </c>
      <c r="B143" s="61" t="s">
        <v>65</v>
      </c>
      <c r="C143" s="61" t="s">
        <v>42</v>
      </c>
      <c r="D143" s="62" t="s">
        <v>225</v>
      </c>
      <c r="E143" s="62" t="s">
        <v>66</v>
      </c>
      <c r="F143" s="63" t="s">
        <v>67</v>
      </c>
      <c r="G143" s="9"/>
    </row>
    <row r="144" spans="1:7" hidden="1">
      <c r="A144" s="16" t="str">
        <f>+A137</f>
        <v>Coletor</v>
      </c>
      <c r="B144" s="17" t="s">
        <v>10</v>
      </c>
      <c r="C144" s="102">
        <f>E44+E45</f>
        <v>2</v>
      </c>
      <c r="D144" s="95"/>
      <c r="E144" s="50">
        <f>C144*D144</f>
        <v>0</v>
      </c>
      <c r="F144" s="23"/>
      <c r="G144" s="9"/>
    </row>
    <row r="145" spans="1:7" ht="13.8" thickBot="1">
      <c r="A145" s="16" t="str">
        <f>A138</f>
        <v>Motorista</v>
      </c>
      <c r="B145" s="17" t="s">
        <v>10</v>
      </c>
      <c r="C145" s="102">
        <f>E46</f>
        <v>1</v>
      </c>
      <c r="D145" s="95">
        <f>90.93*0.8</f>
        <v>72.744000000000014</v>
      </c>
      <c r="E145" s="50">
        <f>C145*D145</f>
        <v>72.744000000000014</v>
      </c>
      <c r="F145" s="23"/>
      <c r="G145" s="9"/>
    </row>
    <row r="146" spans="1:7" ht="13.8" thickBot="1">
      <c r="D146" s="122" t="s">
        <v>186</v>
      </c>
      <c r="E146" s="296">
        <f>E103</f>
        <v>0.47727272727272729</v>
      </c>
      <c r="F146" s="22">
        <f>SUM(E144:E145)*E146</f>
        <v>34.718727272727278</v>
      </c>
      <c r="G146" s="9"/>
    </row>
    <row r="147" spans="1:7">
      <c r="D147" s="122"/>
      <c r="E147" s="359"/>
      <c r="G147" s="9"/>
    </row>
    <row r="148" spans="1:7" ht="13.8" thickBot="1">
      <c r="A148" s="7" t="s">
        <v>405</v>
      </c>
      <c r="B148" s="7"/>
      <c r="C148" s="7"/>
      <c r="D148" s="322"/>
      <c r="E148" s="322"/>
      <c r="F148" s="23"/>
      <c r="G148" s="9"/>
    </row>
    <row r="149" spans="1:7" ht="13.8" thickBot="1">
      <c r="A149" s="60" t="s">
        <v>64</v>
      </c>
      <c r="B149" s="61" t="s">
        <v>65</v>
      </c>
      <c r="C149" s="61" t="s">
        <v>42</v>
      </c>
      <c r="D149" s="62" t="s">
        <v>225</v>
      </c>
      <c r="E149" s="62" t="s">
        <v>66</v>
      </c>
      <c r="F149" s="63" t="s">
        <v>67</v>
      </c>
      <c r="G149" s="9"/>
    </row>
    <row r="150" spans="1:7" ht="13.8" thickBot="1">
      <c r="A150" s="313" t="s">
        <v>348</v>
      </c>
      <c r="B150" s="356" t="s">
        <v>10</v>
      </c>
      <c r="C150" s="360">
        <f>C68</f>
        <v>2</v>
      </c>
      <c r="D150" s="361">
        <v>15.62</v>
      </c>
      <c r="E150" s="362">
        <f>C150*D150</f>
        <v>31.24</v>
      </c>
      <c r="F150" s="23"/>
      <c r="G150" s="9"/>
    </row>
    <row r="151" spans="1:7" ht="13.8" hidden="1" thickBot="1">
      <c r="A151" s="313"/>
      <c r="B151" s="356" t="s">
        <v>10</v>
      </c>
      <c r="C151" s="360">
        <v>0</v>
      </c>
      <c r="D151" s="361">
        <v>0</v>
      </c>
      <c r="E151" s="362"/>
      <c r="F151" s="23"/>
      <c r="G151" s="9"/>
    </row>
    <row r="152" spans="1:7" ht="13.8" thickBot="1">
      <c r="A152" s="363"/>
      <c r="B152" s="363"/>
      <c r="C152" s="7"/>
      <c r="D152" s="324" t="s">
        <v>347</v>
      </c>
      <c r="E152" s="373">
        <f>E69</f>
        <v>0.47727272727272729</v>
      </c>
      <c r="F152" s="364">
        <f>SUM(E150:E151)*E152</f>
        <v>14.91</v>
      </c>
      <c r="G152" s="9"/>
    </row>
    <row r="153" spans="1:7" ht="13.8" thickBot="1">
      <c r="D153" s="122"/>
      <c r="E153" s="359"/>
      <c r="G153" s="9"/>
    </row>
    <row r="154" spans="1:7" ht="13.8" thickBot="1">
      <c r="A154" s="24" t="s">
        <v>93</v>
      </c>
      <c r="B154" s="25"/>
      <c r="C154" s="25"/>
      <c r="D154" s="26"/>
      <c r="E154" s="27"/>
      <c r="F154" s="22">
        <f>F146+F140+F133+F125+F103+F88+F69+F152</f>
        <v>5970.5206639653088</v>
      </c>
      <c r="G154" s="9"/>
    </row>
    <row r="156" spans="1:7">
      <c r="A156" s="11" t="s">
        <v>47</v>
      </c>
      <c r="G156" s="9"/>
    </row>
    <row r="157" spans="1:7" ht="11.25" customHeight="1">
      <c r="G157" s="9"/>
    </row>
    <row r="158" spans="1:7" ht="13.95" customHeight="1">
      <c r="A158" s="9" t="s">
        <v>188</v>
      </c>
      <c r="G158" s="9"/>
    </row>
    <row r="159" spans="1:7" ht="11.25" customHeight="1" thickBot="1">
      <c r="G159" s="9"/>
    </row>
    <row r="160" spans="1:7" ht="27.75" customHeight="1" thickBot="1">
      <c r="A160" s="60" t="s">
        <v>64</v>
      </c>
      <c r="B160" s="61" t="s">
        <v>65</v>
      </c>
      <c r="C160" s="269" t="s">
        <v>247</v>
      </c>
      <c r="D160" s="62" t="s">
        <v>225</v>
      </c>
      <c r="E160" s="62" t="s">
        <v>66</v>
      </c>
      <c r="F160" s="63" t="s">
        <v>67</v>
      </c>
      <c r="G160" s="9"/>
    </row>
    <row r="161" spans="1:7">
      <c r="A161" s="13" t="s">
        <v>68</v>
      </c>
      <c r="B161" s="14" t="s">
        <v>10</v>
      </c>
      <c r="C161" s="311">
        <v>12</v>
      </c>
      <c r="D161" s="294">
        <v>110</v>
      </c>
      <c r="E161" s="15">
        <f>IFERROR(D161/C161,0)</f>
        <v>9.1666666666666661</v>
      </c>
      <c r="G161" s="9"/>
    </row>
    <row r="162" spans="1:7" ht="13.2" customHeight="1">
      <c r="A162" s="16" t="s">
        <v>30</v>
      </c>
      <c r="B162" s="17" t="s">
        <v>10</v>
      </c>
      <c r="C162" s="311">
        <v>4</v>
      </c>
      <c r="D162" s="310">
        <v>35</v>
      </c>
      <c r="E162" s="15">
        <f t="shared" ref="E162:E171" si="2">IFERROR(D162/C162,0)</f>
        <v>8.75</v>
      </c>
      <c r="G162" s="9"/>
    </row>
    <row r="163" spans="1:7">
      <c r="A163" s="16" t="s">
        <v>31</v>
      </c>
      <c r="B163" s="17" t="s">
        <v>10</v>
      </c>
      <c r="C163" s="311">
        <v>2</v>
      </c>
      <c r="D163" s="310">
        <v>28</v>
      </c>
      <c r="E163" s="15">
        <f t="shared" si="2"/>
        <v>14</v>
      </c>
      <c r="G163" s="9"/>
    </row>
    <row r="164" spans="1:7" ht="13.2" customHeight="1">
      <c r="A164" s="16" t="s">
        <v>32</v>
      </c>
      <c r="B164" s="17" t="s">
        <v>10</v>
      </c>
      <c r="C164" s="311">
        <v>4</v>
      </c>
      <c r="D164" s="310">
        <v>18</v>
      </c>
      <c r="E164" s="15">
        <f t="shared" si="2"/>
        <v>4.5</v>
      </c>
      <c r="G164" s="9"/>
    </row>
    <row r="165" spans="1:7" ht="13.95" customHeight="1">
      <c r="A165" s="16" t="s">
        <v>70</v>
      </c>
      <c r="B165" s="17" t="s">
        <v>50</v>
      </c>
      <c r="C165" s="311">
        <v>4</v>
      </c>
      <c r="D165" s="310">
        <v>60</v>
      </c>
      <c r="E165" s="15">
        <f t="shared" si="2"/>
        <v>15</v>
      </c>
      <c r="G165" s="9"/>
    </row>
    <row r="166" spans="1:7" ht="13.2" customHeight="1">
      <c r="A166" s="16" t="s">
        <v>94</v>
      </c>
      <c r="B166" s="17" t="s">
        <v>50</v>
      </c>
      <c r="C166" s="311">
        <v>2</v>
      </c>
      <c r="D166" s="310">
        <v>10</v>
      </c>
      <c r="E166" s="15">
        <f t="shared" si="2"/>
        <v>5</v>
      </c>
    </row>
    <row r="167" spans="1:7">
      <c r="A167" s="16" t="s">
        <v>69</v>
      </c>
      <c r="B167" s="17" t="s">
        <v>10</v>
      </c>
      <c r="C167" s="311">
        <v>6</v>
      </c>
      <c r="D167" s="310">
        <v>67</v>
      </c>
      <c r="E167" s="15">
        <f t="shared" si="2"/>
        <v>11.166666666666666</v>
      </c>
    </row>
    <row r="168" spans="1:7" s="1" customFormat="1">
      <c r="A168" s="2" t="s">
        <v>11</v>
      </c>
      <c r="B168" s="3" t="s">
        <v>10</v>
      </c>
      <c r="C168" s="311">
        <v>4</v>
      </c>
      <c r="D168" s="310">
        <v>20</v>
      </c>
      <c r="E168" s="15">
        <f t="shared" si="2"/>
        <v>5</v>
      </c>
      <c r="F168" s="38"/>
      <c r="G168" s="38"/>
    </row>
    <row r="169" spans="1:7">
      <c r="A169" s="16" t="s">
        <v>33</v>
      </c>
      <c r="B169" s="17" t="s">
        <v>50</v>
      </c>
      <c r="C169" s="311">
        <v>1</v>
      </c>
      <c r="D169" s="310">
        <v>19</v>
      </c>
      <c r="E169" s="15">
        <f t="shared" si="2"/>
        <v>19</v>
      </c>
    </row>
    <row r="170" spans="1:7" ht="13.2" customHeight="1">
      <c r="A170" s="16" t="s">
        <v>63</v>
      </c>
      <c r="B170" s="17" t="s">
        <v>51</v>
      </c>
      <c r="C170" s="311">
        <v>2</v>
      </c>
      <c r="D170" s="310">
        <v>20</v>
      </c>
      <c r="E170" s="15">
        <f t="shared" si="2"/>
        <v>10</v>
      </c>
    </row>
    <row r="171" spans="1:7">
      <c r="A171" s="313" t="s">
        <v>447</v>
      </c>
      <c r="B171" s="3" t="s">
        <v>10</v>
      </c>
      <c r="C171" s="312">
        <v>6.6666666666666666E-2</v>
      </c>
      <c r="D171" s="310">
        <v>0.5</v>
      </c>
      <c r="E171" s="15">
        <f t="shared" si="2"/>
        <v>7.5</v>
      </c>
    </row>
    <row r="172" spans="1:7" ht="13.8" thickBot="1">
      <c r="A172" s="16" t="s">
        <v>5</v>
      </c>
      <c r="B172" s="17" t="s">
        <v>6</v>
      </c>
      <c r="C172" s="69">
        <f>E44+E45</f>
        <v>2</v>
      </c>
      <c r="D172" s="18">
        <f>+SUM(E161:E171)</f>
        <v>109.08333333333333</v>
      </c>
      <c r="E172" s="18">
        <f t="shared" ref="E172" si="3">C172*D172</f>
        <v>218.16666666666666</v>
      </c>
    </row>
    <row r="173" spans="1:7" ht="13.8" thickBot="1">
      <c r="D173" s="122" t="s">
        <v>186</v>
      </c>
      <c r="E173" s="296">
        <f>$B$54</f>
        <v>0.47727272727272729</v>
      </c>
      <c r="F173" s="123">
        <f>E172*E173</f>
        <v>104.125</v>
      </c>
    </row>
    <row r="174" spans="1:7" ht="11.25" customHeight="1"/>
    <row r="175" spans="1:7" ht="13.95" customHeight="1">
      <c r="A175" s="9" t="s">
        <v>189</v>
      </c>
    </row>
    <row r="176" spans="1:7" ht="11.25" customHeight="1" thickBot="1"/>
    <row r="177" spans="1:7" ht="24.6" thickBot="1">
      <c r="A177" s="60" t="s">
        <v>64</v>
      </c>
      <c r="B177" s="61" t="s">
        <v>65</v>
      </c>
      <c r="C177" s="269" t="s">
        <v>247</v>
      </c>
      <c r="D177" s="62" t="s">
        <v>225</v>
      </c>
      <c r="E177" s="62" t="s">
        <v>66</v>
      </c>
      <c r="F177" s="63" t="s">
        <v>67</v>
      </c>
    </row>
    <row r="178" spans="1:7">
      <c r="A178" s="13" t="s">
        <v>68</v>
      </c>
      <c r="B178" s="14" t="s">
        <v>10</v>
      </c>
      <c r="C178" s="315">
        <f>C161</f>
        <v>12</v>
      </c>
      <c r="D178" s="15">
        <f>+D161</f>
        <v>110</v>
      </c>
      <c r="E178" s="15">
        <f>IFERROR(D178/C178,0)</f>
        <v>9.1666666666666661</v>
      </c>
    </row>
    <row r="179" spans="1:7">
      <c r="A179" s="16" t="s">
        <v>30</v>
      </c>
      <c r="B179" s="17" t="s">
        <v>10</v>
      </c>
      <c r="C179" s="315">
        <f>C162</f>
        <v>4</v>
      </c>
      <c r="D179" s="18">
        <f>+D162</f>
        <v>35</v>
      </c>
      <c r="E179" s="15">
        <f t="shared" ref="E179:E184" si="4">IFERROR(D179/C179,0)</f>
        <v>8.75</v>
      </c>
    </row>
    <row r="180" spans="1:7">
      <c r="A180" s="16" t="s">
        <v>31</v>
      </c>
      <c r="B180" s="17" t="s">
        <v>10</v>
      </c>
      <c r="C180" s="315">
        <f>C163</f>
        <v>2</v>
      </c>
      <c r="D180" s="18">
        <f>+D163</f>
        <v>28</v>
      </c>
      <c r="E180" s="15">
        <f t="shared" si="4"/>
        <v>14</v>
      </c>
    </row>
    <row r="181" spans="1:7">
      <c r="A181" s="16" t="s">
        <v>70</v>
      </c>
      <c r="B181" s="17" t="s">
        <v>50</v>
      </c>
      <c r="C181" s="315">
        <f>C165</f>
        <v>4</v>
      </c>
      <c r="D181" s="18">
        <f>+D165</f>
        <v>60</v>
      </c>
      <c r="E181" s="15">
        <f t="shared" si="4"/>
        <v>15</v>
      </c>
    </row>
    <row r="182" spans="1:7">
      <c r="A182" s="16" t="s">
        <v>69</v>
      </c>
      <c r="B182" s="17" t="s">
        <v>10</v>
      </c>
      <c r="C182" s="315">
        <f>C167</f>
        <v>6</v>
      </c>
      <c r="D182" s="18">
        <f>+D167</f>
        <v>67</v>
      </c>
      <c r="E182" s="15">
        <f t="shared" si="4"/>
        <v>11.166666666666666</v>
      </c>
      <c r="G182" s="9"/>
    </row>
    <row r="183" spans="1:7">
      <c r="A183" s="16" t="s">
        <v>63</v>
      </c>
      <c r="B183" s="17" t="s">
        <v>51</v>
      </c>
      <c r="C183" s="315">
        <f>C170</f>
        <v>2</v>
      </c>
      <c r="D183" s="18">
        <f>+D170</f>
        <v>20</v>
      </c>
      <c r="E183" s="15">
        <f t="shared" si="4"/>
        <v>10</v>
      </c>
      <c r="G183" s="9"/>
    </row>
    <row r="184" spans="1:7">
      <c r="A184" s="313" t="s">
        <v>447</v>
      </c>
      <c r="B184" s="3" t="s">
        <v>10</v>
      </c>
      <c r="C184" s="312">
        <f>C171</f>
        <v>6.6666666666666666E-2</v>
      </c>
      <c r="D184" s="310">
        <v>0.5</v>
      </c>
      <c r="E184" s="15">
        <f t="shared" si="4"/>
        <v>7.5</v>
      </c>
      <c r="G184" s="9"/>
    </row>
    <row r="185" spans="1:7" ht="13.8" thickBot="1">
      <c r="A185" s="16" t="s">
        <v>5</v>
      </c>
      <c r="B185" s="17" t="s">
        <v>6</v>
      </c>
      <c r="C185" s="69">
        <f>E46</f>
        <v>1</v>
      </c>
      <c r="D185" s="18">
        <f>+SUM(E178:E184)</f>
        <v>75.583333333333329</v>
      </c>
      <c r="E185" s="18">
        <f t="shared" ref="E185" si="5">C185*D185</f>
        <v>75.583333333333329</v>
      </c>
      <c r="G185" s="9"/>
    </row>
    <row r="186" spans="1:7" ht="13.8" thickBot="1">
      <c r="D186" s="122" t="s">
        <v>186</v>
      </c>
      <c r="E186" s="296">
        <f>E103</f>
        <v>0.47727272727272729</v>
      </c>
      <c r="F186" s="123">
        <f>E185*E186</f>
        <v>36.073863636363633</v>
      </c>
      <c r="G186" s="9"/>
    </row>
    <row r="187" spans="1:7" ht="11.25" customHeight="1" thickBot="1">
      <c r="G187" s="9"/>
    </row>
    <row r="188" spans="1:7" ht="13.8" thickBot="1">
      <c r="A188" s="24" t="s">
        <v>190</v>
      </c>
      <c r="B188" s="28"/>
      <c r="C188" s="28"/>
      <c r="D188" s="29"/>
      <c r="E188" s="30"/>
      <c r="F188" s="21">
        <f>+F173+F186</f>
        <v>140.19886363636363</v>
      </c>
      <c r="G188" s="9"/>
    </row>
    <row r="189" spans="1:7" ht="11.25" customHeight="1">
      <c r="G189" s="9"/>
    </row>
    <row r="190" spans="1:7">
      <c r="A190" s="11" t="s">
        <v>56</v>
      </c>
      <c r="G190" s="9"/>
    </row>
    <row r="191" spans="1:7" ht="11.25" customHeight="1">
      <c r="B191" s="107"/>
      <c r="G191" s="9"/>
    </row>
    <row r="192" spans="1:7">
      <c r="A192" s="7" t="s">
        <v>448</v>
      </c>
      <c r="G192" s="9"/>
    </row>
    <row r="193" spans="1:10" ht="11.25" customHeight="1">
      <c r="G193" s="9"/>
    </row>
    <row r="194" spans="1:10" ht="13.8" thickBot="1">
      <c r="A194" s="107" t="s">
        <v>48</v>
      </c>
      <c r="G194" s="9"/>
    </row>
    <row r="195" spans="1:10" ht="13.8" thickBot="1">
      <c r="A195" s="60" t="s">
        <v>64</v>
      </c>
      <c r="B195" s="61" t="s">
        <v>65</v>
      </c>
      <c r="C195" s="61" t="s">
        <v>42</v>
      </c>
      <c r="D195" s="62" t="s">
        <v>225</v>
      </c>
      <c r="E195" s="62" t="s">
        <v>66</v>
      </c>
      <c r="F195" s="63" t="s">
        <v>67</v>
      </c>
      <c r="G195" s="9"/>
    </row>
    <row r="196" spans="1:10">
      <c r="A196" s="13" t="s">
        <v>104</v>
      </c>
      <c r="B196" s="14" t="s">
        <v>10</v>
      </c>
      <c r="C196" s="275">
        <v>1</v>
      </c>
      <c r="D196" s="87">
        <v>178200</v>
      </c>
      <c r="E196" s="15">
        <f>C196*D196</f>
        <v>178200</v>
      </c>
      <c r="G196" s="9"/>
    </row>
    <row r="197" spans="1:10">
      <c r="A197" s="16" t="s">
        <v>101</v>
      </c>
      <c r="B197" s="17" t="s">
        <v>102</v>
      </c>
      <c r="C197" s="86">
        <v>15</v>
      </c>
      <c r="D197" s="83"/>
      <c r="E197" s="18"/>
      <c r="G197" s="9"/>
    </row>
    <row r="198" spans="1:10">
      <c r="A198" s="16" t="s">
        <v>203</v>
      </c>
      <c r="B198" s="17" t="s">
        <v>102</v>
      </c>
      <c r="C198" s="86">
        <v>0</v>
      </c>
      <c r="D198" s="18"/>
      <c r="E198" s="18"/>
      <c r="F198" s="20"/>
      <c r="I198" s="85"/>
      <c r="J198" s="85"/>
    </row>
    <row r="199" spans="1:10">
      <c r="A199" s="16" t="s">
        <v>103</v>
      </c>
      <c r="B199" s="17" t="s">
        <v>2</v>
      </c>
      <c r="C199" s="140">
        <f>IFERROR(VLOOKUP(C197,'10. Depr'!A3:B17,2,FALSE),0)</f>
        <v>70.73</v>
      </c>
      <c r="D199" s="18">
        <f>E196</f>
        <v>178200</v>
      </c>
      <c r="E199" s="18">
        <f>C199*D199/100</f>
        <v>126040.86</v>
      </c>
    </row>
    <row r="200" spans="1:10" ht="13.8" thickBot="1">
      <c r="A200" s="278" t="s">
        <v>52</v>
      </c>
      <c r="B200" s="279" t="s">
        <v>8</v>
      </c>
      <c r="C200" s="279">
        <f>C197*12</f>
        <v>180</v>
      </c>
      <c r="D200" s="280">
        <f>IF(C198&lt;=C197,E199,0)</f>
        <v>126040.86</v>
      </c>
      <c r="E200" s="280">
        <f>IFERROR(D200/C200,0)</f>
        <v>700.22699999999998</v>
      </c>
    </row>
    <row r="201" spans="1:10" ht="13.8" thickTop="1">
      <c r="A201" s="288" t="s">
        <v>449</v>
      </c>
      <c r="B201" s="14" t="s">
        <v>10</v>
      </c>
      <c r="C201" s="14">
        <f>C196</f>
        <v>1</v>
      </c>
      <c r="D201" s="87">
        <v>80000</v>
      </c>
      <c r="E201" s="15">
        <f>C201*D201</f>
        <v>80000</v>
      </c>
      <c r="G201" s="9"/>
    </row>
    <row r="202" spans="1:10">
      <c r="A202" s="313" t="s">
        <v>101</v>
      </c>
      <c r="B202" s="17" t="s">
        <v>102</v>
      </c>
      <c r="C202" s="86">
        <v>15</v>
      </c>
      <c r="D202" s="18"/>
      <c r="E202" s="18"/>
    </row>
    <row r="203" spans="1:10">
      <c r="A203" s="313" t="s">
        <v>326</v>
      </c>
      <c r="B203" s="17" t="s">
        <v>102</v>
      </c>
      <c r="C203" s="86">
        <v>0</v>
      </c>
      <c r="D203" s="18"/>
      <c r="E203" s="18"/>
      <c r="F203" s="20"/>
      <c r="I203" s="85"/>
      <c r="J203" s="85"/>
    </row>
    <row r="204" spans="1:10">
      <c r="A204" s="313" t="s">
        <v>103</v>
      </c>
      <c r="B204" s="17" t="s">
        <v>2</v>
      </c>
      <c r="C204" s="141">
        <f>IFERROR(VLOOKUP(C202,'10. Depr'!A3:B17,2,FALSE),0)</f>
        <v>70.73</v>
      </c>
      <c r="D204" s="18">
        <f>E201</f>
        <v>80000</v>
      </c>
      <c r="E204" s="18">
        <f>C204*D204/100</f>
        <v>56584</v>
      </c>
    </row>
    <row r="205" spans="1:10">
      <c r="A205" s="103" t="s">
        <v>327</v>
      </c>
      <c r="B205" s="104" t="s">
        <v>8</v>
      </c>
      <c r="C205" s="104">
        <f>C202*12</f>
        <v>180</v>
      </c>
      <c r="D205" s="105">
        <f>IF(C203&lt;=C202,E204,0)</f>
        <v>56584</v>
      </c>
      <c r="E205" s="105">
        <f>IFERROR(D205/C205,0)</f>
        <v>314.35555555555555</v>
      </c>
    </row>
    <row r="206" spans="1:10">
      <c r="A206" s="103" t="s">
        <v>373</v>
      </c>
      <c r="B206" s="104" t="s">
        <v>8</v>
      </c>
      <c r="C206" s="104">
        <v>1</v>
      </c>
      <c r="D206" s="105">
        <f>IF(C204&lt;=C203,E205,0)</f>
        <v>0</v>
      </c>
      <c r="E206" s="105">
        <f>(E200+E205)*0.1</f>
        <v>101.45825555555555</v>
      </c>
    </row>
    <row r="207" spans="1:10">
      <c r="A207" s="116" t="s">
        <v>250</v>
      </c>
      <c r="B207" s="117"/>
      <c r="C207" s="117"/>
      <c r="D207" s="118"/>
      <c r="E207" s="119">
        <f>E200+E205+E206</f>
        <v>1116.040811111111</v>
      </c>
    </row>
    <row r="208" spans="1:10" ht="13.8" thickBot="1">
      <c r="A208" s="103" t="s">
        <v>251</v>
      </c>
      <c r="B208" s="104" t="s">
        <v>10</v>
      </c>
      <c r="C208" s="86">
        <v>1</v>
      </c>
      <c r="D208" s="105">
        <f>E207</f>
        <v>1116.040811111111</v>
      </c>
      <c r="E208" s="119">
        <f>C208*D208</f>
        <v>1116.040811111111</v>
      </c>
    </row>
    <row r="209" spans="1:10" ht="13.8" thickBot="1">
      <c r="A209" s="274"/>
      <c r="B209" s="274"/>
      <c r="C209" s="274"/>
      <c r="D209" s="122" t="s">
        <v>186</v>
      </c>
      <c r="E209" s="296">
        <f>E69</f>
        <v>0.47727272727272729</v>
      </c>
      <c r="F209" s="21">
        <f>E208*E209</f>
        <v>532.65584166666667</v>
      </c>
    </row>
    <row r="210" spans="1:10" ht="11.25" customHeight="1"/>
    <row r="211" spans="1:10" ht="13.8" thickBot="1">
      <c r="A211" s="107" t="s">
        <v>108</v>
      </c>
    </row>
    <row r="212" spans="1:10" ht="13.8" thickBot="1">
      <c r="A212" s="109" t="s">
        <v>64</v>
      </c>
      <c r="B212" s="110" t="s">
        <v>65</v>
      </c>
      <c r="C212" s="110" t="s">
        <v>42</v>
      </c>
      <c r="D212" s="62" t="s">
        <v>225</v>
      </c>
      <c r="E212" s="111" t="s">
        <v>66</v>
      </c>
      <c r="F212" s="63" t="s">
        <v>67</v>
      </c>
      <c r="I212" s="85"/>
      <c r="J212" s="85"/>
    </row>
    <row r="213" spans="1:10">
      <c r="A213" s="16" t="s">
        <v>107</v>
      </c>
      <c r="B213" s="17" t="s">
        <v>10</v>
      </c>
      <c r="C213" s="275">
        <v>1</v>
      </c>
      <c r="D213" s="18">
        <f>D196</f>
        <v>178200</v>
      </c>
      <c r="E213" s="18">
        <f>C213*D213</f>
        <v>178200</v>
      </c>
      <c r="F213" s="20"/>
      <c r="I213" s="85"/>
      <c r="J213" s="85"/>
    </row>
    <row r="214" spans="1:10">
      <c r="A214" s="16" t="s">
        <v>206</v>
      </c>
      <c r="B214" s="17" t="s">
        <v>2</v>
      </c>
      <c r="C214" s="86">
        <v>4.25</v>
      </c>
      <c r="D214" s="18"/>
      <c r="E214" s="18"/>
      <c r="F214" s="20"/>
      <c r="I214" s="85"/>
      <c r="J214" s="85"/>
    </row>
    <row r="215" spans="1:10">
      <c r="A215" s="16" t="s">
        <v>204</v>
      </c>
      <c r="B215" s="17" t="s">
        <v>35</v>
      </c>
      <c r="C215" s="148">
        <f>IFERROR(IF(C198&lt;=C197,E196-(C199/(100*C197)*C198)*E196,E196-E199),0)</f>
        <v>178200</v>
      </c>
      <c r="D215" s="18"/>
      <c r="E215" s="18"/>
      <c r="F215" s="20"/>
      <c r="I215" s="85"/>
      <c r="J215" s="85"/>
    </row>
    <row r="216" spans="1:10">
      <c r="A216" s="16" t="s">
        <v>110</v>
      </c>
      <c r="B216" s="17" t="s">
        <v>35</v>
      </c>
      <c r="C216" s="83">
        <f>IFERROR(IF(C198&gt;=C197,C215,((((C215)-(E196-E199))*(((C197-C198)+1)/(2*(C197-C198))))+(E196-E199))),0)</f>
        <v>119380.932</v>
      </c>
      <c r="D216" s="18"/>
      <c r="E216" s="18"/>
      <c r="F216" s="20"/>
      <c r="I216" s="85"/>
      <c r="J216" s="85"/>
    </row>
    <row r="217" spans="1:10" ht="13.8" thickBot="1">
      <c r="A217" s="278" t="s">
        <v>111</v>
      </c>
      <c r="B217" s="279" t="s">
        <v>35</v>
      </c>
      <c r="C217" s="279"/>
      <c r="D217" s="281">
        <f>C214*C216/12/100</f>
        <v>422.80746749999997</v>
      </c>
      <c r="E217" s="280">
        <f>D217</f>
        <v>422.80746749999997</v>
      </c>
      <c r="F217" s="20"/>
      <c r="I217" s="85"/>
      <c r="J217" s="85"/>
    </row>
    <row r="218" spans="1:10" ht="13.8" thickTop="1">
      <c r="A218" s="288" t="s">
        <v>325</v>
      </c>
      <c r="B218" s="14" t="s">
        <v>10</v>
      </c>
      <c r="C218" s="14">
        <f>C201</f>
        <v>1</v>
      </c>
      <c r="D218" s="15">
        <f>D201</f>
        <v>80000</v>
      </c>
      <c r="E218" s="15">
        <f>C218*D218</f>
        <v>80000</v>
      </c>
      <c r="F218" s="20"/>
      <c r="I218" s="85"/>
      <c r="J218" s="85"/>
    </row>
    <row r="219" spans="1:10">
      <c r="A219" s="313" t="s">
        <v>206</v>
      </c>
      <c r="B219" s="17" t="s">
        <v>2</v>
      </c>
      <c r="C219" s="276">
        <f>C214</f>
        <v>4.25</v>
      </c>
      <c r="D219" s="18"/>
      <c r="E219" s="18"/>
      <c r="F219" s="20"/>
      <c r="I219" s="85"/>
      <c r="J219" s="85"/>
    </row>
    <row r="220" spans="1:10">
      <c r="A220" s="16" t="s">
        <v>205</v>
      </c>
      <c r="B220" s="17" t="s">
        <v>35</v>
      </c>
      <c r="C220" s="148">
        <f>IFERROR(IF(C203&lt;=C202,E201-(C204/(100*C202)*C203)*E201,E201-E204),0)</f>
        <v>80000</v>
      </c>
      <c r="D220" s="18"/>
      <c r="E220" s="18"/>
      <c r="F220" s="20"/>
      <c r="I220" s="85"/>
      <c r="J220" s="85"/>
    </row>
    <row r="221" spans="1:10">
      <c r="A221" s="313" t="s">
        <v>366</v>
      </c>
      <c r="B221" s="17" t="s">
        <v>35</v>
      </c>
      <c r="C221" s="83">
        <f>IFERROR(IF(C203&gt;=C202,C220,((((C220)-(E201-E204))*(((C202-C203)+1)/(2*(C202-C203))))+(E201-E204))),0)</f>
        <v>53594.133333333331</v>
      </c>
      <c r="D221" s="18"/>
      <c r="E221" s="18"/>
      <c r="F221" s="20"/>
      <c r="I221" s="85"/>
      <c r="J221" s="85"/>
    </row>
    <row r="222" spans="1:10">
      <c r="A222" s="103" t="s">
        <v>367</v>
      </c>
      <c r="B222" s="104" t="s">
        <v>35</v>
      </c>
      <c r="C222" s="104"/>
      <c r="D222" s="113">
        <f>C219*C221/12/100</f>
        <v>189.81255555555555</v>
      </c>
      <c r="E222" s="105">
        <f>D222</f>
        <v>189.81255555555555</v>
      </c>
      <c r="F222" s="20"/>
      <c r="I222" s="85"/>
      <c r="J222" s="85"/>
    </row>
    <row r="223" spans="1:10">
      <c r="A223" s="103" t="s">
        <v>373</v>
      </c>
      <c r="B223" s="104" t="s">
        <v>8</v>
      </c>
      <c r="C223" s="104">
        <v>1</v>
      </c>
      <c r="D223" s="105"/>
      <c r="E223" s="105">
        <f>(E217+E222)*0.1</f>
        <v>61.262002305555555</v>
      </c>
      <c r="F223" s="20"/>
      <c r="I223" s="85"/>
      <c r="J223" s="85"/>
    </row>
    <row r="224" spans="1:10">
      <c r="A224" s="116" t="s">
        <v>250</v>
      </c>
      <c r="B224" s="117"/>
      <c r="C224" s="117"/>
      <c r="D224" s="118"/>
      <c r="E224" s="119">
        <f>E217+E222+E223</f>
        <v>673.88202536111112</v>
      </c>
      <c r="F224" s="20"/>
      <c r="G224" s="355"/>
      <c r="I224" s="85"/>
      <c r="J224" s="85"/>
    </row>
    <row r="225" spans="1:10" ht="13.8" thickBot="1">
      <c r="A225" s="103" t="s">
        <v>251</v>
      </c>
      <c r="B225" s="104" t="s">
        <v>10</v>
      </c>
      <c r="C225" s="276">
        <f>C208</f>
        <v>1</v>
      </c>
      <c r="D225" s="105">
        <f>E224</f>
        <v>673.88202536111112</v>
      </c>
      <c r="E225" s="119">
        <f>C225*D225</f>
        <v>673.88202536111112</v>
      </c>
      <c r="F225" s="20"/>
      <c r="I225" s="85"/>
      <c r="J225" s="85"/>
    </row>
    <row r="226" spans="1:10" ht="13.8" thickBot="1">
      <c r="C226" s="19"/>
      <c r="D226" s="122" t="s">
        <v>186</v>
      </c>
      <c r="E226" s="296">
        <f>E209</f>
        <v>0.47727272727272729</v>
      </c>
      <c r="F226" s="21">
        <f>E225*E226</f>
        <v>321.62551210416666</v>
      </c>
      <c r="I226" s="85"/>
      <c r="J226" s="85"/>
    </row>
    <row r="227" spans="1:10" ht="11.25" customHeight="1">
      <c r="I227" s="85"/>
      <c r="J227" s="85"/>
    </row>
    <row r="228" spans="1:10" ht="13.8" thickBot="1">
      <c r="A228" s="9" t="s">
        <v>53</v>
      </c>
      <c r="I228" s="85"/>
      <c r="J228" s="85"/>
    </row>
    <row r="229" spans="1:10" ht="13.8" thickBot="1">
      <c r="A229" s="60" t="s">
        <v>64</v>
      </c>
      <c r="B229" s="61" t="s">
        <v>65</v>
      </c>
      <c r="C229" s="61" t="s">
        <v>42</v>
      </c>
      <c r="D229" s="62" t="s">
        <v>225</v>
      </c>
      <c r="E229" s="62" t="s">
        <v>66</v>
      </c>
      <c r="F229" s="63" t="s">
        <v>67</v>
      </c>
      <c r="I229" s="85"/>
      <c r="J229" s="85"/>
    </row>
    <row r="230" spans="1:10">
      <c r="A230" s="13" t="s">
        <v>12</v>
      </c>
      <c r="B230" s="14" t="s">
        <v>10</v>
      </c>
      <c r="C230" s="15">
        <f>C208</f>
        <v>1</v>
      </c>
      <c r="D230" s="15">
        <f>0.01*($C$215)</f>
        <v>1782</v>
      </c>
      <c r="E230" s="15">
        <f>C230*D230</f>
        <v>1782</v>
      </c>
      <c r="I230" s="85"/>
      <c r="J230" s="85"/>
    </row>
    <row r="231" spans="1:10">
      <c r="A231" s="16" t="s">
        <v>185</v>
      </c>
      <c r="B231" s="17" t="s">
        <v>10</v>
      </c>
      <c r="C231" s="15">
        <f>C208</f>
        <v>1</v>
      </c>
      <c r="D231" s="89">
        <v>96.77</v>
      </c>
      <c r="E231" s="18">
        <f>C231*D231</f>
        <v>96.77</v>
      </c>
      <c r="I231" s="85"/>
      <c r="J231" s="85"/>
    </row>
    <row r="232" spans="1:10">
      <c r="A232" s="16" t="s">
        <v>13</v>
      </c>
      <c r="B232" s="17" t="s">
        <v>10</v>
      </c>
      <c r="C232" s="15">
        <f>C208</f>
        <v>1</v>
      </c>
      <c r="D232" s="89">
        <f>2510*1.08</f>
        <v>2710.8</v>
      </c>
      <c r="E232" s="18">
        <f>C232*D232</f>
        <v>2710.8</v>
      </c>
      <c r="F232" s="31"/>
      <c r="I232" s="85"/>
      <c r="J232" s="85"/>
    </row>
    <row r="233" spans="1:10" ht="13.8" thickBot="1">
      <c r="A233" s="103" t="s">
        <v>14</v>
      </c>
      <c r="B233" s="104" t="s">
        <v>8</v>
      </c>
      <c r="C233" s="104">
        <v>12</v>
      </c>
      <c r="D233" s="105">
        <f>SUM(E230:E232)</f>
        <v>4589.57</v>
      </c>
      <c r="E233" s="105">
        <f>D233/C233</f>
        <v>382.46416666666664</v>
      </c>
      <c r="I233" s="85"/>
      <c r="J233" s="85"/>
    </row>
    <row r="234" spans="1:10" ht="13.8" thickBot="1">
      <c r="D234" s="122" t="s">
        <v>186</v>
      </c>
      <c r="E234" s="296">
        <f>E226</f>
        <v>0.47727272727272729</v>
      </c>
      <c r="F234" s="123">
        <f>E233*E234</f>
        <v>182.53971590909092</v>
      </c>
      <c r="I234" s="85"/>
      <c r="J234" s="85"/>
    </row>
    <row r="235" spans="1:10" ht="11.25" customHeight="1">
      <c r="I235" s="85"/>
      <c r="J235" s="85"/>
    </row>
    <row r="236" spans="1:10">
      <c r="A236" s="9" t="s">
        <v>54</v>
      </c>
      <c r="B236" s="32"/>
      <c r="I236" s="85"/>
      <c r="J236" s="85"/>
    </row>
    <row r="237" spans="1:10">
      <c r="B237" s="32"/>
      <c r="I237" s="85"/>
      <c r="J237" s="85"/>
    </row>
    <row r="238" spans="1:10">
      <c r="A238" s="103" t="s">
        <v>113</v>
      </c>
      <c r="B238" s="321">
        <f>'9. Roteiros'!R10</f>
        <v>923.35573542857151</v>
      </c>
      <c r="I238" s="85"/>
      <c r="J238" s="85"/>
    </row>
    <row r="239" spans="1:10" ht="13.8" thickBot="1">
      <c r="B239" s="32"/>
      <c r="I239" s="85"/>
      <c r="J239" s="85"/>
    </row>
    <row r="240" spans="1:10" ht="13.8" thickBot="1">
      <c r="A240" s="60" t="s">
        <v>64</v>
      </c>
      <c r="B240" s="61" t="s">
        <v>65</v>
      </c>
      <c r="C240" s="61" t="s">
        <v>249</v>
      </c>
      <c r="D240" s="62" t="s">
        <v>225</v>
      </c>
      <c r="E240" s="62" t="s">
        <v>66</v>
      </c>
      <c r="F240" s="63" t="s">
        <v>67</v>
      </c>
      <c r="I240" s="85"/>
      <c r="J240" s="85"/>
    </row>
    <row r="241" spans="1:10">
      <c r="A241" s="13" t="s">
        <v>15</v>
      </c>
      <c r="B241" s="14" t="s">
        <v>16</v>
      </c>
      <c r="C241" s="97">
        <v>2.2999999999999998</v>
      </c>
      <c r="D241" s="98">
        <v>4.5190000000000001</v>
      </c>
      <c r="E241" s="15"/>
      <c r="I241" s="85"/>
      <c r="J241" s="85"/>
    </row>
    <row r="242" spans="1:10">
      <c r="A242" s="16" t="s">
        <v>17</v>
      </c>
      <c r="B242" s="17" t="s">
        <v>18</v>
      </c>
      <c r="C242" s="94">
        <f>B238</f>
        <v>923.35573542857151</v>
      </c>
      <c r="D242" s="273">
        <f>IFERROR(+D241/C241,"-")</f>
        <v>1.9647826086956524</v>
      </c>
      <c r="E242" s="18">
        <f>IFERROR(C242*D242,"-")</f>
        <v>1814.1932906094414</v>
      </c>
      <c r="I242" s="85"/>
      <c r="J242" s="85"/>
    </row>
    <row r="243" spans="1:10">
      <c r="A243" s="16" t="s">
        <v>226</v>
      </c>
      <c r="B243" s="17" t="s">
        <v>19</v>
      </c>
      <c r="C243" s="100">
        <v>1.33</v>
      </c>
      <c r="D243" s="89">
        <v>15</v>
      </c>
      <c r="E243" s="18"/>
      <c r="G243" s="112"/>
      <c r="H243" s="52"/>
      <c r="I243" s="85"/>
      <c r="J243" s="85"/>
    </row>
    <row r="244" spans="1:10">
      <c r="A244" s="16" t="s">
        <v>20</v>
      </c>
      <c r="B244" s="17" t="s">
        <v>18</v>
      </c>
      <c r="C244" s="94">
        <f>C242</f>
        <v>923.35573542857151</v>
      </c>
      <c r="D244" s="270">
        <f>+C243*D243/1000</f>
        <v>1.9950000000000002E-2</v>
      </c>
      <c r="E244" s="18">
        <f>C244*D244</f>
        <v>18.420946921800002</v>
      </c>
      <c r="G244" s="112"/>
      <c r="H244" s="52"/>
      <c r="I244" s="85"/>
      <c r="J244" s="85"/>
    </row>
    <row r="245" spans="1:10">
      <c r="A245" s="16" t="s">
        <v>227</v>
      </c>
      <c r="B245" s="17" t="s">
        <v>19</v>
      </c>
      <c r="C245" s="100">
        <v>0.18</v>
      </c>
      <c r="D245" s="89">
        <v>24</v>
      </c>
      <c r="E245" s="18"/>
      <c r="G245" s="112"/>
      <c r="H245" s="52"/>
      <c r="I245" s="85"/>
      <c r="J245" s="85"/>
    </row>
    <row r="246" spans="1:10">
      <c r="A246" s="16" t="s">
        <v>21</v>
      </c>
      <c r="B246" s="17" t="s">
        <v>18</v>
      </c>
      <c r="C246" s="94">
        <f>C242</f>
        <v>923.35573542857151</v>
      </c>
      <c r="D246" s="270">
        <f>+C245*D245/1000</f>
        <v>4.3200000000000001E-3</v>
      </c>
      <c r="E246" s="18">
        <f>C246*D246</f>
        <v>3.988896777051429</v>
      </c>
      <c r="G246" s="112"/>
      <c r="H246" s="52"/>
      <c r="I246" s="85"/>
      <c r="J246" s="85"/>
    </row>
    <row r="247" spans="1:10">
      <c r="A247" s="16" t="s">
        <v>228</v>
      </c>
      <c r="B247" s="17" t="s">
        <v>19</v>
      </c>
      <c r="C247" s="100">
        <v>4</v>
      </c>
      <c r="D247" s="89">
        <v>19</v>
      </c>
      <c r="E247" s="18"/>
      <c r="G247" s="112"/>
      <c r="H247" s="52"/>
      <c r="I247" s="85"/>
      <c r="J247" s="85"/>
    </row>
    <row r="248" spans="1:10">
      <c r="A248" s="16" t="s">
        <v>22</v>
      </c>
      <c r="B248" s="17" t="s">
        <v>18</v>
      </c>
      <c r="C248" s="94">
        <f>C242</f>
        <v>923.35573542857151</v>
      </c>
      <c r="D248" s="270">
        <f>+C247*D247/1000</f>
        <v>7.5999999999999998E-2</v>
      </c>
      <c r="E248" s="18">
        <f>C248*D248</f>
        <v>70.175035892571429</v>
      </c>
      <c r="G248" s="112"/>
      <c r="H248" s="52"/>
      <c r="I248" s="85"/>
      <c r="J248" s="85"/>
    </row>
    <row r="249" spans="1:10">
      <c r="A249" s="313" t="s">
        <v>365</v>
      </c>
      <c r="B249" s="356" t="s">
        <v>19</v>
      </c>
      <c r="C249" s="367">
        <v>20</v>
      </c>
      <c r="D249" s="326">
        <v>1.9</v>
      </c>
      <c r="E249" s="323"/>
      <c r="G249" s="112"/>
      <c r="H249" s="52"/>
      <c r="I249" s="85"/>
      <c r="J249" s="85"/>
    </row>
    <row r="250" spans="1:10">
      <c r="A250" s="313" t="s">
        <v>364</v>
      </c>
      <c r="B250" s="356" t="s">
        <v>18</v>
      </c>
      <c r="C250" s="325">
        <f>C244</f>
        <v>923.35573542857151</v>
      </c>
      <c r="D250" s="327">
        <f>+C249*D249/1000</f>
        <v>3.7999999999999999E-2</v>
      </c>
      <c r="E250" s="323">
        <f>C250*D250</f>
        <v>35.087517946285715</v>
      </c>
      <c r="G250" s="112"/>
      <c r="H250" s="52"/>
      <c r="I250" s="85"/>
      <c r="J250" s="85"/>
    </row>
    <row r="251" spans="1:10">
      <c r="A251" s="16" t="s">
        <v>23</v>
      </c>
      <c r="B251" s="17" t="s">
        <v>24</v>
      </c>
      <c r="C251" s="100">
        <v>2</v>
      </c>
      <c r="D251" s="89">
        <v>17</v>
      </c>
      <c r="E251" s="18"/>
      <c r="G251" s="112"/>
      <c r="H251" s="52"/>
      <c r="I251" s="85"/>
      <c r="J251" s="85"/>
    </row>
    <row r="252" spans="1:10">
      <c r="A252" s="16" t="s">
        <v>25</v>
      </c>
      <c r="B252" s="17" t="s">
        <v>18</v>
      </c>
      <c r="C252" s="94">
        <f>C242</f>
        <v>923.35573542857151</v>
      </c>
      <c r="D252" s="270">
        <f>+C251*D251/1000</f>
        <v>3.4000000000000002E-2</v>
      </c>
      <c r="E252" s="18">
        <f>C252*D252</f>
        <v>31.394095004571433</v>
      </c>
      <c r="G252" s="112"/>
      <c r="H252" s="52"/>
      <c r="I252" s="85"/>
      <c r="J252" s="85"/>
    </row>
    <row r="253" spans="1:10" ht="13.8" thickBot="1">
      <c r="A253" s="103" t="s">
        <v>248</v>
      </c>
      <c r="B253" s="104" t="s">
        <v>114</v>
      </c>
      <c r="C253" s="271"/>
      <c r="D253" s="272">
        <f>IFERROR(D242+D244+D246+D248+D252,0)</f>
        <v>2.099052608695652</v>
      </c>
      <c r="E253" s="18"/>
      <c r="G253" s="112"/>
      <c r="H253" s="52"/>
      <c r="I253" s="85"/>
      <c r="J253" s="85"/>
    </row>
    <row r="254" spans="1:10" ht="13.8" thickBot="1">
      <c r="F254" s="21">
        <f>SUM(E241:E252)</f>
        <v>1973.2597831517214</v>
      </c>
      <c r="I254" s="85"/>
      <c r="J254" s="85"/>
    </row>
    <row r="255" spans="1:10" ht="11.25" customHeight="1">
      <c r="I255" s="85"/>
      <c r="J255" s="85"/>
    </row>
    <row r="256" spans="1:10" ht="13.8" thickBot="1">
      <c r="A256" s="9" t="s">
        <v>55</v>
      </c>
      <c r="I256" s="85"/>
      <c r="J256" s="85"/>
    </row>
    <row r="257" spans="1:10" ht="13.8" thickBot="1">
      <c r="A257" s="60" t="s">
        <v>64</v>
      </c>
      <c r="B257" s="61" t="s">
        <v>65</v>
      </c>
      <c r="C257" s="61" t="s">
        <v>42</v>
      </c>
      <c r="D257" s="62" t="s">
        <v>225</v>
      </c>
      <c r="E257" s="62" t="s">
        <v>66</v>
      </c>
      <c r="F257" s="63" t="s">
        <v>67</v>
      </c>
      <c r="I257" s="85"/>
      <c r="J257" s="85"/>
    </row>
    <row r="258" spans="1:10" ht="13.8" thickBot="1">
      <c r="A258" s="13" t="s">
        <v>112</v>
      </c>
      <c r="B258" s="14" t="s">
        <v>114</v>
      </c>
      <c r="C258" s="381">
        <f>C242</f>
        <v>923.35573542857151</v>
      </c>
      <c r="D258" s="87">
        <v>0.82</v>
      </c>
      <c r="E258" s="15">
        <f>C258*D258</f>
        <v>757.15170305142863</v>
      </c>
      <c r="I258" s="85"/>
      <c r="J258" s="85"/>
    </row>
    <row r="259" spans="1:10" ht="13.8" thickBot="1">
      <c r="F259" s="21">
        <f>E258</f>
        <v>757.15170305142863</v>
      </c>
      <c r="I259" s="85"/>
      <c r="J259" s="85"/>
    </row>
    <row r="260" spans="1:10" ht="11.25" customHeight="1">
      <c r="I260" s="85"/>
      <c r="J260" s="85"/>
    </row>
    <row r="261" spans="1:10" ht="13.8" thickBot="1">
      <c r="A261" s="9" t="s">
        <v>62</v>
      </c>
      <c r="I261" s="85"/>
      <c r="J261" s="85"/>
    </row>
    <row r="262" spans="1:10" ht="13.8" thickBot="1">
      <c r="A262" s="60" t="s">
        <v>64</v>
      </c>
      <c r="B262" s="61" t="s">
        <v>65</v>
      </c>
      <c r="C262" s="61" t="s">
        <v>42</v>
      </c>
      <c r="D262" s="62" t="s">
        <v>225</v>
      </c>
      <c r="E262" s="62" t="s">
        <v>66</v>
      </c>
      <c r="F262" s="63" t="s">
        <v>67</v>
      </c>
      <c r="I262" s="85"/>
      <c r="J262" s="85"/>
    </row>
    <row r="263" spans="1:10">
      <c r="A263" s="288" t="s">
        <v>363</v>
      </c>
      <c r="B263" s="14" t="s">
        <v>10</v>
      </c>
      <c r="C263" s="96">
        <v>6</v>
      </c>
      <c r="D263" s="87">
        <v>2150</v>
      </c>
      <c r="E263" s="15">
        <f>C263*D263</f>
        <v>12900</v>
      </c>
      <c r="I263" s="85"/>
      <c r="J263" s="85"/>
    </row>
    <row r="264" spans="1:10">
      <c r="A264" s="13" t="s">
        <v>115</v>
      </c>
      <c r="B264" s="14" t="s">
        <v>10</v>
      </c>
      <c r="C264" s="96">
        <v>2</v>
      </c>
      <c r="D264" s="106"/>
      <c r="E264" s="15"/>
      <c r="I264" s="85"/>
      <c r="J264" s="85"/>
    </row>
    <row r="265" spans="1:10">
      <c r="A265" s="13" t="s">
        <v>72</v>
      </c>
      <c r="B265" s="14" t="s">
        <v>10</v>
      </c>
      <c r="C265" s="15">
        <f>C263*C264</f>
        <v>12</v>
      </c>
      <c r="D265" s="87">
        <v>560</v>
      </c>
      <c r="E265" s="15">
        <f>C265*D265</f>
        <v>6720</v>
      </c>
      <c r="I265" s="85"/>
      <c r="J265" s="85"/>
    </row>
    <row r="266" spans="1:10">
      <c r="A266" s="16" t="s">
        <v>95</v>
      </c>
      <c r="B266" s="17" t="s">
        <v>26</v>
      </c>
      <c r="C266" s="99">
        <v>70000</v>
      </c>
      <c r="D266" s="18">
        <f>E263+E265</f>
        <v>19620</v>
      </c>
      <c r="E266" s="18">
        <f>IFERROR(D266/C266,"-")</f>
        <v>0.2802857142857143</v>
      </c>
      <c r="I266" s="85"/>
      <c r="J266" s="85"/>
    </row>
    <row r="267" spans="1:10" ht="13.8" thickBot="1">
      <c r="A267" s="16" t="s">
        <v>57</v>
      </c>
      <c r="B267" s="17" t="s">
        <v>18</v>
      </c>
      <c r="C267" s="18">
        <f>B238</f>
        <v>923.35573542857151</v>
      </c>
      <c r="D267" s="18">
        <f>E266</f>
        <v>0.2802857142857143</v>
      </c>
      <c r="E267" s="18">
        <f>IFERROR(C267*D267,0)</f>
        <v>258.80342184440821</v>
      </c>
      <c r="I267" s="85"/>
      <c r="J267" s="85"/>
    </row>
    <row r="268" spans="1:10" ht="13.8" thickBot="1">
      <c r="F268" s="21">
        <f>E267</f>
        <v>258.80342184440821</v>
      </c>
      <c r="I268" s="85"/>
      <c r="J268" s="85"/>
    </row>
    <row r="269" spans="1:10" ht="11.25" customHeight="1">
      <c r="I269" s="85"/>
      <c r="J269" s="85"/>
    </row>
    <row r="270" spans="1:10" ht="11.25" customHeight="1" thickBot="1">
      <c r="G270" s="9"/>
    </row>
    <row r="271" spans="1:10" ht="13.8" thickBot="1">
      <c r="A271" s="24" t="s">
        <v>218</v>
      </c>
      <c r="B271" s="25"/>
      <c r="C271" s="25"/>
      <c r="D271" s="26"/>
      <c r="E271" s="27"/>
      <c r="F271" s="21">
        <f>+SUM(F196:F270)</f>
        <v>4026.0359777274825</v>
      </c>
      <c r="G271" s="9"/>
    </row>
    <row r="272" spans="1:10" ht="11.25" customHeight="1">
      <c r="G272" s="9"/>
    </row>
    <row r="273" spans="1:7">
      <c r="A273" s="34" t="s">
        <v>399</v>
      </c>
      <c r="B273" s="34"/>
      <c r="C273" s="34"/>
      <c r="D273" s="35"/>
      <c r="E273" s="35"/>
      <c r="F273" s="33"/>
      <c r="G273" s="9"/>
    </row>
    <row r="274" spans="1:7" ht="11.25" customHeight="1" thickBot="1">
      <c r="G274" s="9"/>
    </row>
    <row r="275" spans="1:7" ht="13.8" thickBot="1">
      <c r="A275" s="60" t="s">
        <v>64</v>
      </c>
      <c r="B275" s="61" t="s">
        <v>65</v>
      </c>
      <c r="C275" s="61" t="s">
        <v>510</v>
      </c>
      <c r="D275" s="62" t="s">
        <v>225</v>
      </c>
      <c r="E275" s="62" t="s">
        <v>66</v>
      </c>
      <c r="F275" s="63" t="s">
        <v>67</v>
      </c>
      <c r="G275" s="9"/>
    </row>
    <row r="276" spans="1:7">
      <c r="A276" s="16" t="s">
        <v>73</v>
      </c>
      <c r="B276" s="17" t="s">
        <v>10</v>
      </c>
      <c r="C276" s="101">
        <v>0.16666666666666666</v>
      </c>
      <c r="D276" s="87">
        <v>40</v>
      </c>
      <c r="E276" s="18">
        <f t="shared" ref="E276:E278" si="6">C276*D276</f>
        <v>6.6666666666666661</v>
      </c>
      <c r="F276" s="55"/>
      <c r="G276" s="9"/>
    </row>
    <row r="277" spans="1:7">
      <c r="A277" s="16" t="s">
        <v>28</v>
      </c>
      <c r="B277" s="17" t="s">
        <v>10</v>
      </c>
      <c r="C277" s="101">
        <v>0.16666666666666666</v>
      </c>
      <c r="D277" s="87">
        <v>28</v>
      </c>
      <c r="E277" s="18">
        <f t="shared" si="6"/>
        <v>4.6666666666666661</v>
      </c>
      <c r="F277" s="55"/>
      <c r="G277" s="9"/>
    </row>
    <row r="278" spans="1:7" ht="13.8" thickBot="1">
      <c r="A278" s="16" t="s">
        <v>29</v>
      </c>
      <c r="B278" s="17" t="s">
        <v>10</v>
      </c>
      <c r="C278" s="101">
        <v>0.16666666666666666</v>
      </c>
      <c r="D278" s="87">
        <v>28</v>
      </c>
      <c r="E278" s="18">
        <f t="shared" si="6"/>
        <v>4.6666666666666661</v>
      </c>
      <c r="F278" s="55"/>
      <c r="G278" s="9"/>
    </row>
    <row r="279" spans="1:7" ht="13.8" thickBot="1">
      <c r="A279" s="34"/>
      <c r="B279" s="34"/>
      <c r="C279" s="34"/>
      <c r="D279" s="34"/>
      <c r="E279" s="35"/>
      <c r="F279" s="21">
        <f>SUM(E276:E278)</f>
        <v>15.999999999999998</v>
      </c>
      <c r="G279" s="9"/>
    </row>
    <row r="280" spans="1:7" ht="11.25" customHeight="1" thickBot="1">
      <c r="G280" s="9"/>
    </row>
    <row r="281" spans="1:7" ht="13.8" thickBot="1">
      <c r="A281" s="24" t="s">
        <v>219</v>
      </c>
      <c r="B281" s="25"/>
      <c r="C281" s="25"/>
      <c r="D281" s="26"/>
      <c r="E281" s="27"/>
      <c r="F281" s="21">
        <f>+F279</f>
        <v>15.999999999999998</v>
      </c>
      <c r="G281" s="9"/>
    </row>
    <row r="282" spans="1:7" ht="11.25" customHeight="1">
      <c r="G282" s="9"/>
    </row>
    <row r="283" spans="1:7" ht="13.2" customHeight="1">
      <c r="A283" s="34" t="s">
        <v>393</v>
      </c>
      <c r="B283" s="34"/>
      <c r="C283" s="34"/>
      <c r="D283" s="35"/>
      <c r="E283" s="35"/>
      <c r="F283" s="33"/>
      <c r="G283" s="9"/>
    </row>
    <row r="284" spans="1:7" ht="11.25" customHeight="1" thickBot="1">
      <c r="G284" s="9"/>
    </row>
    <row r="285" spans="1:7" ht="13.95" customHeight="1" thickBot="1">
      <c r="A285" s="60" t="s">
        <v>64</v>
      </c>
      <c r="B285" s="61" t="s">
        <v>65</v>
      </c>
      <c r="C285" s="61" t="s">
        <v>42</v>
      </c>
      <c r="D285" s="62" t="s">
        <v>225</v>
      </c>
      <c r="E285" s="62" t="s">
        <v>66</v>
      </c>
      <c r="F285" s="63" t="s">
        <v>67</v>
      </c>
      <c r="G285" s="9"/>
    </row>
    <row r="286" spans="1:7" ht="13.95" customHeight="1">
      <c r="A286" s="313" t="s">
        <v>511</v>
      </c>
      <c r="B286" s="356" t="s">
        <v>10</v>
      </c>
      <c r="C286" s="366">
        <v>2</v>
      </c>
      <c r="D286" s="87">
        <v>80</v>
      </c>
      <c r="E286" s="18">
        <f t="shared" ref="E286:E288" si="7">C286*D286</f>
        <v>160</v>
      </c>
      <c r="F286" s="55"/>
      <c r="G286" s="9"/>
    </row>
    <row r="287" spans="1:7" ht="13.95" customHeight="1">
      <c r="A287" s="313" t="s">
        <v>341</v>
      </c>
      <c r="B287" s="356" t="s">
        <v>10</v>
      </c>
      <c r="C287" s="101">
        <v>8.3333333333333329E-2</v>
      </c>
      <c r="D287" s="87">
        <v>250</v>
      </c>
      <c r="E287" s="18">
        <f t="shared" si="7"/>
        <v>20.833333333333332</v>
      </c>
      <c r="F287" s="55"/>
      <c r="G287" s="9"/>
    </row>
    <row r="288" spans="1:7" ht="13.95" customHeight="1">
      <c r="A288" s="313" t="s">
        <v>343</v>
      </c>
      <c r="B288" s="356" t="s">
        <v>342</v>
      </c>
      <c r="C288" s="315">
        <v>1</v>
      </c>
      <c r="D288" s="87">
        <v>100</v>
      </c>
      <c r="E288" s="18">
        <f t="shared" si="7"/>
        <v>100</v>
      </c>
      <c r="F288" s="55"/>
      <c r="G288" s="9"/>
    </row>
    <row r="289" spans="1:7" ht="13.95" customHeight="1" thickBot="1">
      <c r="A289" s="313" t="s">
        <v>392</v>
      </c>
      <c r="B289" s="53" t="s">
        <v>319</v>
      </c>
      <c r="C289" s="154">
        <v>150</v>
      </c>
      <c r="D289" s="89">
        <v>2.2000000000000002</v>
      </c>
      <c r="E289" s="18">
        <f t="shared" ref="E289" si="8">+D289*C289</f>
        <v>330</v>
      </c>
      <c r="F289" s="55"/>
      <c r="G289" s="9"/>
    </row>
    <row r="290" spans="1:7" ht="13.95" customHeight="1" thickBot="1">
      <c r="A290" s="81"/>
      <c r="B290" s="81"/>
      <c r="C290" s="81"/>
      <c r="D290" s="122" t="s">
        <v>186</v>
      </c>
      <c r="E290" s="296">
        <v>1</v>
      </c>
      <c r="F290" s="82">
        <f>SUM(E286:E289)</f>
        <v>610.83333333333337</v>
      </c>
      <c r="G290" s="9"/>
    </row>
    <row r="291" spans="1:7" ht="11.25" customHeight="1">
      <c r="G291" s="9"/>
    </row>
    <row r="292" spans="1:7">
      <c r="A292" s="34" t="s">
        <v>394</v>
      </c>
      <c r="B292" s="34"/>
      <c r="C292" s="34"/>
      <c r="D292" s="35"/>
      <c r="E292" s="35"/>
      <c r="F292" s="33"/>
    </row>
    <row r="293" spans="1:7" ht="11.25" customHeight="1" thickBot="1"/>
    <row r="294" spans="1:7" ht="13.8" thickBot="1">
      <c r="A294" s="60" t="s">
        <v>64</v>
      </c>
      <c r="B294" s="61" t="s">
        <v>65</v>
      </c>
      <c r="C294" s="61" t="s">
        <v>42</v>
      </c>
      <c r="D294" s="62" t="s">
        <v>225</v>
      </c>
      <c r="E294" s="62" t="s">
        <v>66</v>
      </c>
      <c r="F294" s="63" t="s">
        <v>67</v>
      </c>
    </row>
    <row r="295" spans="1:7">
      <c r="A295" s="313" t="s">
        <v>216</v>
      </c>
      <c r="B295" s="53" t="s">
        <v>59</v>
      </c>
      <c r="C295" s="69">
        <v>1</v>
      </c>
      <c r="D295" s="89">
        <v>600</v>
      </c>
      <c r="E295" s="18">
        <f>+D295*C295</f>
        <v>600</v>
      </c>
      <c r="F295" s="55"/>
    </row>
    <row r="296" spans="1:7">
      <c r="A296" s="16" t="s">
        <v>61</v>
      </c>
      <c r="B296" s="53" t="s">
        <v>8</v>
      </c>
      <c r="C296" s="154">
        <v>60</v>
      </c>
      <c r="D296" s="80">
        <f>SUM(E295:E295)</f>
        <v>600</v>
      </c>
      <c r="E296" s="80">
        <f>+D296/C296</f>
        <v>10</v>
      </c>
      <c r="F296" s="55"/>
    </row>
    <row r="297" spans="1:7">
      <c r="A297" s="16" t="s">
        <v>217</v>
      </c>
      <c r="B297" s="17" t="s">
        <v>10</v>
      </c>
      <c r="C297" s="69">
        <f>+C295</f>
        <v>1</v>
      </c>
      <c r="D297" s="89">
        <v>110</v>
      </c>
      <c r="E297" s="18">
        <f>C297*D297</f>
        <v>110</v>
      </c>
      <c r="F297" s="55"/>
    </row>
    <row r="298" spans="1:7" ht="13.8" thickBot="1">
      <c r="A298" s="16" t="s">
        <v>39</v>
      </c>
      <c r="B298" s="53" t="s">
        <v>8</v>
      </c>
      <c r="C298" s="154">
        <v>1</v>
      </c>
      <c r="D298" s="80">
        <f>+E297</f>
        <v>110</v>
      </c>
      <c r="E298" s="80">
        <f>+D298/C298</f>
        <v>110</v>
      </c>
      <c r="F298" s="55"/>
    </row>
    <row r="299" spans="1:7" ht="13.8" thickBot="1">
      <c r="A299" s="81"/>
      <c r="B299" s="81"/>
      <c r="C299" s="81"/>
      <c r="D299" s="122" t="s">
        <v>186</v>
      </c>
      <c r="E299" s="296">
        <f>E234</f>
        <v>0.47727272727272729</v>
      </c>
      <c r="F299" s="82">
        <f>(E296+E298)*E299</f>
        <v>57.272727272727273</v>
      </c>
    </row>
    <row r="300" spans="1:7" s="51" customFormat="1" ht="11.25" customHeight="1" thickBot="1">
      <c r="A300" s="9"/>
      <c r="B300" s="9"/>
      <c r="C300" s="9"/>
      <c r="D300" s="10"/>
      <c r="E300" s="10"/>
      <c r="F300" s="10"/>
      <c r="G300" s="84"/>
    </row>
    <row r="301" spans="1:7" ht="13.8" thickBot="1">
      <c r="A301" s="24" t="s">
        <v>215</v>
      </c>
      <c r="B301" s="25"/>
      <c r="C301" s="25"/>
      <c r="D301" s="26"/>
      <c r="E301" s="27"/>
      <c r="F301" s="21">
        <f>+F299</f>
        <v>57.272727272727273</v>
      </c>
    </row>
    <row r="302" spans="1:7" ht="11.25" customHeight="1" thickBot="1"/>
    <row r="303" spans="1:7" ht="17.25" customHeight="1" thickBot="1">
      <c r="A303" s="24" t="s">
        <v>220</v>
      </c>
      <c r="B303" s="28"/>
      <c r="C303" s="28"/>
      <c r="D303" s="29"/>
      <c r="E303" s="30"/>
      <c r="F303" s="22">
        <f>+F154+F188+F271+F281+F301+F290</f>
        <v>10820.861565935216</v>
      </c>
    </row>
    <row r="304" spans="1:7" ht="11.25" customHeight="1"/>
    <row r="305" spans="1:7">
      <c r="A305" s="11" t="s">
        <v>395</v>
      </c>
    </row>
    <row r="306" spans="1:7" ht="11.25" customHeight="1" thickBot="1"/>
    <row r="307" spans="1:7" ht="13.8" thickBot="1">
      <c r="A307" s="60" t="s">
        <v>64</v>
      </c>
      <c r="B307" s="61" t="s">
        <v>65</v>
      </c>
      <c r="C307" s="61" t="s">
        <v>42</v>
      </c>
      <c r="D307" s="62" t="s">
        <v>225</v>
      </c>
      <c r="E307" s="62" t="s">
        <v>66</v>
      </c>
      <c r="F307" s="63" t="s">
        <v>67</v>
      </c>
    </row>
    <row r="308" spans="1:7" ht="13.8" thickBot="1">
      <c r="A308" s="13" t="s">
        <v>38</v>
      </c>
      <c r="B308" s="14" t="s">
        <v>2</v>
      </c>
      <c r="C308" s="140">
        <f>'6.BDI'!C21*100</f>
        <v>23.62</v>
      </c>
      <c r="D308" s="15">
        <f>+F303</f>
        <v>10820.861565935216</v>
      </c>
      <c r="E308" s="15">
        <f>C308*D308/100</f>
        <v>2555.8875018738981</v>
      </c>
    </row>
    <row r="309" spans="1:7" ht="13.8" thickBot="1">
      <c r="F309" s="21">
        <f>+E308</f>
        <v>2555.8875018738981</v>
      </c>
    </row>
    <row r="310" spans="1:7" ht="11.25" customHeight="1" thickBot="1"/>
    <row r="311" spans="1:7" ht="13.8" thickBot="1">
      <c r="A311" s="24" t="s">
        <v>230</v>
      </c>
      <c r="B311" s="28"/>
      <c r="C311" s="28"/>
      <c r="D311" s="29"/>
      <c r="E311" s="30"/>
      <c r="F311" s="22">
        <f>F309</f>
        <v>2555.8875018738981</v>
      </c>
    </row>
    <row r="312" spans="1:7">
      <c r="A312" s="34"/>
      <c r="B312" s="34"/>
      <c r="C312" s="34"/>
      <c r="D312" s="35"/>
      <c r="E312" s="35"/>
      <c r="F312" s="33"/>
    </row>
    <row r="313" spans="1:7" ht="11.25" customHeight="1" thickBot="1"/>
    <row r="314" spans="1:7" ht="24.75" customHeight="1" thickBot="1">
      <c r="A314" s="24" t="s">
        <v>221</v>
      </c>
      <c r="B314" s="28"/>
      <c r="C314" s="28"/>
      <c r="D314" s="29"/>
      <c r="E314" s="30"/>
      <c r="F314" s="22">
        <f>F303+F311</f>
        <v>13376.749067809114</v>
      </c>
    </row>
    <row r="315" spans="1:7" ht="12.6" customHeight="1">
      <c r="A315" s="56"/>
      <c r="B315" s="56"/>
      <c r="C315" s="56"/>
      <c r="D315" s="57"/>
      <c r="E315" s="57"/>
      <c r="F315" s="57"/>
    </row>
    <row r="316" spans="1:7" ht="13.8" hidden="1">
      <c r="A316" s="8"/>
      <c r="B316" s="8"/>
      <c r="C316" s="8"/>
      <c r="D316" s="36"/>
      <c r="E316" s="36"/>
    </row>
    <row r="317" spans="1:7" ht="16.2" hidden="1" customHeight="1">
      <c r="A317" s="251" t="s">
        <v>214</v>
      </c>
      <c r="B317" s="252"/>
      <c r="C317" s="252"/>
      <c r="D317" s="253"/>
      <c r="E317" s="254" t="s">
        <v>27</v>
      </c>
      <c r="G317" s="10" t="s">
        <v>195</v>
      </c>
    </row>
    <row r="318" spans="1:7" hidden="1"/>
    <row r="319" spans="1:7" ht="25.5" hidden="1" customHeight="1" thickBot="1">
      <c r="A319" s="24" t="s">
        <v>71</v>
      </c>
      <c r="B319" s="25"/>
      <c r="C319" s="25"/>
      <c r="D319" s="26"/>
      <c r="E319" s="255" t="s">
        <v>34</v>
      </c>
      <c r="F319" s="256" t="str">
        <f>IFERROR(F314/D317,"-")</f>
        <v>-</v>
      </c>
      <c r="G319" s="10" t="s">
        <v>195</v>
      </c>
    </row>
    <row r="320" spans="1:7" ht="12.6" hidden="1" customHeight="1">
      <c r="A320" s="34"/>
      <c r="B320" s="34"/>
      <c r="C320" s="34"/>
      <c r="D320" s="35"/>
      <c r="E320" s="35"/>
      <c r="F320" s="35"/>
    </row>
    <row r="321" spans="1:7" s="4" customFormat="1" ht="9.75" hidden="1" customHeight="1">
      <c r="A321" s="39"/>
      <c r="B321" s="10"/>
      <c r="C321" s="10"/>
      <c r="D321" s="10"/>
      <c r="E321" s="10"/>
      <c r="F321" s="10"/>
      <c r="G321" s="6"/>
    </row>
    <row r="322" spans="1:7" s="4" customFormat="1" ht="9.75" hidden="1" customHeight="1">
      <c r="A322" s="39"/>
      <c r="B322" s="10"/>
      <c r="C322" s="10"/>
      <c r="D322" s="10"/>
      <c r="E322" s="10"/>
      <c r="F322" s="10"/>
      <c r="G322" s="6"/>
    </row>
    <row r="323" spans="1:7" s="4" customFormat="1" ht="9.75" hidden="1" customHeight="1">
      <c r="A323" s="39"/>
      <c r="B323" s="10"/>
      <c r="C323" s="10"/>
      <c r="D323" s="10"/>
      <c r="E323" s="10"/>
      <c r="F323" s="10"/>
      <c r="G323" s="6"/>
    </row>
    <row r="324" spans="1:7">
      <c r="F324" s="44"/>
    </row>
    <row r="325" spans="1:7">
      <c r="F325" s="368"/>
    </row>
    <row r="353" spans="4:7" ht="9" customHeight="1">
      <c r="D353" s="9"/>
      <c r="E353" s="9"/>
      <c r="F353" s="9"/>
      <c r="G353" s="9"/>
    </row>
  </sheetData>
  <mergeCells count="7">
    <mergeCell ref="A50:D50"/>
    <mergeCell ref="A26:C26"/>
    <mergeCell ref="A12:F12"/>
    <mergeCell ref="A13:F13"/>
    <mergeCell ref="A43:D43"/>
    <mergeCell ref="A15:F15"/>
    <mergeCell ref="A42:E42"/>
  </mergeCells>
  <phoneticPr fontId="25" type="noConversion"/>
  <hyperlinks>
    <hyperlink ref="A211" location="AbaRemun" display="3.1.2. Remuneração do Capital"/>
    <hyperlink ref="A194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4" fitToHeight="4" orientation="portrait" verticalDpi="300" r:id="rId1"/>
  <headerFooter alignWithMargins="0">
    <oddFooter>&amp;R&amp;P de &amp;N</oddFooter>
  </headerFooter>
  <rowBreaks count="2" manualBreakCount="2">
    <brk id="126" max="5" man="1"/>
    <brk id="21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sqref="A1:B1"/>
    </sheetView>
  </sheetViews>
  <sheetFormatPr defaultColWidth="9.109375" defaultRowHeight="19.5" customHeight="1"/>
  <cols>
    <col min="1" max="1" width="24.5546875" style="1" customWidth="1"/>
    <col min="2" max="2" width="20.88671875" style="1" customWidth="1"/>
    <col min="3" max="16384" width="9.109375" style="1"/>
  </cols>
  <sheetData>
    <row r="1" spans="1:2" ht="19.5" customHeight="1" thickBot="1">
      <c r="A1" s="579" t="s">
        <v>361</v>
      </c>
      <c r="B1" s="580"/>
    </row>
    <row r="2" spans="1:2" s="108" customFormat="1" ht="19.5" customHeight="1">
      <c r="A2" s="265" t="s">
        <v>202</v>
      </c>
      <c r="B2" s="266" t="s">
        <v>255</v>
      </c>
    </row>
    <row r="3" spans="1:2" ht="19.5" customHeight="1">
      <c r="A3" s="165">
        <v>1</v>
      </c>
      <c r="B3" s="164">
        <v>33.629999999999995</v>
      </c>
    </row>
    <row r="4" spans="1:2" ht="19.5" customHeight="1">
      <c r="A4" s="165">
        <v>2</v>
      </c>
      <c r="B4" s="164">
        <v>43.13</v>
      </c>
    </row>
    <row r="5" spans="1:2" ht="19.5" customHeight="1">
      <c r="A5" s="165">
        <v>3</v>
      </c>
      <c r="B5" s="164">
        <v>48.68</v>
      </c>
    </row>
    <row r="6" spans="1:2" ht="19.5" customHeight="1">
      <c r="A6" s="165">
        <v>4</v>
      </c>
      <c r="B6" s="164">
        <v>52.62</v>
      </c>
    </row>
    <row r="7" spans="1:2" ht="19.5" customHeight="1">
      <c r="A7" s="165">
        <v>5</v>
      </c>
      <c r="B7" s="164">
        <v>55.679999999999993</v>
      </c>
    </row>
    <row r="8" spans="1:2" ht="19.5" customHeight="1">
      <c r="A8" s="165">
        <v>6</v>
      </c>
      <c r="B8" s="164">
        <v>58.18</v>
      </c>
    </row>
    <row r="9" spans="1:2" ht="19.5" customHeight="1">
      <c r="A9" s="165">
        <v>7</v>
      </c>
      <c r="B9" s="164">
        <v>60.29</v>
      </c>
    </row>
    <row r="10" spans="1:2" ht="19.5" customHeight="1">
      <c r="A10" s="165">
        <v>8</v>
      </c>
      <c r="B10" s="164">
        <v>62.12</v>
      </c>
    </row>
    <row r="11" spans="1:2" ht="19.5" customHeight="1">
      <c r="A11" s="165">
        <v>9</v>
      </c>
      <c r="B11" s="164">
        <v>63.73</v>
      </c>
    </row>
    <row r="12" spans="1:2" ht="19.5" customHeight="1">
      <c r="A12" s="165">
        <v>10</v>
      </c>
      <c r="B12" s="164">
        <v>65.180000000000007</v>
      </c>
    </row>
    <row r="13" spans="1:2" ht="19.5" customHeight="1">
      <c r="A13" s="165">
        <v>11</v>
      </c>
      <c r="B13" s="164">
        <v>66.47999999999999</v>
      </c>
    </row>
    <row r="14" spans="1:2" ht="19.5" customHeight="1">
      <c r="A14" s="165">
        <v>12</v>
      </c>
      <c r="B14" s="164">
        <v>67.67</v>
      </c>
    </row>
    <row r="15" spans="1:2" ht="19.5" customHeight="1">
      <c r="A15" s="165">
        <v>13</v>
      </c>
      <c r="B15" s="164">
        <v>68.77</v>
      </c>
    </row>
    <row r="16" spans="1:2" ht="19.5" customHeight="1">
      <c r="A16" s="165">
        <v>14</v>
      </c>
      <c r="B16" s="164">
        <v>69.789999999999992</v>
      </c>
    </row>
    <row r="17" spans="1:2" ht="19.5" customHeight="1" thickBot="1">
      <c r="A17" s="166">
        <v>15</v>
      </c>
      <c r="B17" s="167">
        <v>70.73</v>
      </c>
    </row>
  </sheetData>
  <mergeCells count="1">
    <mergeCell ref="A1:B1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17"/>
  <sheetViews>
    <sheetView workbookViewId="0">
      <selection activeCell="A7" sqref="A7"/>
    </sheetView>
  </sheetViews>
  <sheetFormatPr defaultColWidth="9.109375" defaultRowHeight="13.2"/>
  <cols>
    <col min="1" max="1" width="70.44140625" style="1" customWidth="1"/>
    <col min="2" max="3" width="9.109375" style="1"/>
    <col min="4" max="4" width="12.88671875" style="1" bestFit="1" customWidth="1"/>
    <col min="5" max="16384" width="9.109375" style="1"/>
  </cols>
  <sheetData>
    <row r="1" spans="1:1" ht="17.399999999999999">
      <c r="A1" s="249" t="s">
        <v>362</v>
      </c>
    </row>
    <row r="2" spans="1:1">
      <c r="A2" s="246"/>
    </row>
    <row r="3" spans="1:1">
      <c r="A3" s="246" t="s">
        <v>240</v>
      </c>
    </row>
    <row r="4" spans="1:1">
      <c r="A4" s="246"/>
    </row>
    <row r="5" spans="1:1">
      <c r="A5" s="246"/>
    </row>
    <row r="6" spans="1:1">
      <c r="A6" s="246"/>
    </row>
    <row r="7" spans="1:1">
      <c r="A7" s="246"/>
    </row>
    <row r="8" spans="1:1">
      <c r="A8" s="246"/>
    </row>
    <row r="9" spans="1:1">
      <c r="A9" s="246"/>
    </row>
    <row r="10" spans="1:1">
      <c r="A10" s="246"/>
    </row>
    <row r="11" spans="1:1">
      <c r="A11" s="246"/>
    </row>
    <row r="12" spans="1:1" ht="18.600000000000001">
      <c r="A12" s="247" t="s">
        <v>222</v>
      </c>
    </row>
    <row r="13" spans="1:1" ht="15">
      <c r="A13" s="247" t="s">
        <v>105</v>
      </c>
    </row>
    <row r="14" spans="1:1" ht="15">
      <c r="A14" s="247" t="s">
        <v>109</v>
      </c>
    </row>
    <row r="15" spans="1:1" ht="18.600000000000001">
      <c r="A15" s="247" t="s">
        <v>223</v>
      </c>
    </row>
    <row r="16" spans="1:1" ht="18.600000000000001">
      <c r="A16" s="247" t="s">
        <v>224</v>
      </c>
    </row>
    <row r="17" spans="1:1" ht="15.6" thickBot="1">
      <c r="A17" s="248" t="s">
        <v>106</v>
      </c>
    </row>
  </sheetData>
  <pageMargins left="0.90551181102362199" right="0.51181102362204722" top="0.74803149606299213" bottom="0.74803149606299213" header="0.31496062992125984" footer="0.31496062992125984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32"/>
  <sheetViews>
    <sheetView showGridLines="0" workbookViewId="0"/>
  </sheetViews>
  <sheetFormatPr defaultRowHeight="14.4"/>
  <cols>
    <col min="1" max="2" width="35.5546875" style="444" bestFit="1" customWidth="1"/>
    <col min="3" max="3" width="21.6640625" style="444" bestFit="1" customWidth="1"/>
    <col min="4" max="4" width="28.21875" style="444" bestFit="1" customWidth="1"/>
    <col min="5" max="5" width="13.21875" style="444" bestFit="1" customWidth="1"/>
    <col min="6" max="6" width="12.6640625" style="444" bestFit="1" customWidth="1"/>
    <col min="7" max="16384" width="8.88671875" style="444"/>
  </cols>
  <sheetData>
    <row r="1" spans="1:6">
      <c r="A1" s="443" t="s">
        <v>450</v>
      </c>
    </row>
    <row r="2" spans="1:6">
      <c r="A2" s="443" t="s">
        <v>451</v>
      </c>
    </row>
    <row r="3" spans="1:6">
      <c r="A3" s="443" t="s">
        <v>452</v>
      </c>
    </row>
    <row r="4" spans="1:6">
      <c r="A4" s="443"/>
    </row>
    <row r="5" spans="1:6" ht="14.4" customHeight="1">
      <c r="A5" s="581" t="s">
        <v>453</v>
      </c>
      <c r="B5" s="581"/>
      <c r="C5" s="581"/>
      <c r="D5" s="581"/>
    </row>
    <row r="6" spans="1:6">
      <c r="A6" s="445" t="s">
        <v>454</v>
      </c>
    </row>
    <row r="7" spans="1:6">
      <c r="A7" s="445" t="s">
        <v>455</v>
      </c>
    </row>
    <row r="9" spans="1:6" ht="14.4" customHeight="1">
      <c r="A9" s="582" t="s">
        <v>456</v>
      </c>
      <c r="B9" s="583"/>
      <c r="C9" s="583"/>
      <c r="D9" s="583"/>
      <c r="E9" s="583"/>
      <c r="F9" s="584"/>
    </row>
    <row r="10" spans="1:6">
      <c r="A10" s="446" t="s">
        <v>457</v>
      </c>
      <c r="B10" s="446" t="s">
        <v>458</v>
      </c>
      <c r="C10" s="446" t="s">
        <v>459</v>
      </c>
      <c r="D10" s="447" t="s">
        <v>460</v>
      </c>
      <c r="E10" s="447" t="s">
        <v>461</v>
      </c>
      <c r="F10" s="447" t="s">
        <v>462</v>
      </c>
    </row>
    <row r="11" spans="1:6">
      <c r="A11" s="448" t="s">
        <v>463</v>
      </c>
      <c r="B11" s="448" t="s">
        <v>464</v>
      </c>
      <c r="C11" s="449" t="s">
        <v>465</v>
      </c>
      <c r="D11" s="450" t="s">
        <v>466</v>
      </c>
      <c r="E11" s="450">
        <v>4.2990000000000004</v>
      </c>
      <c r="F11" s="451">
        <v>44375</v>
      </c>
    </row>
    <row r="12" spans="1:6">
      <c r="A12" s="448" t="s">
        <v>467</v>
      </c>
      <c r="B12" s="448" t="s">
        <v>468</v>
      </c>
      <c r="C12" s="449" t="s">
        <v>469</v>
      </c>
      <c r="D12" s="450" t="s">
        <v>470</v>
      </c>
      <c r="E12" s="450">
        <v>4.359</v>
      </c>
      <c r="F12" s="451">
        <v>44375</v>
      </c>
    </row>
    <row r="13" spans="1:6">
      <c r="A13" s="448" t="s">
        <v>471</v>
      </c>
      <c r="B13" s="448" t="s">
        <v>472</v>
      </c>
      <c r="C13" s="449" t="s">
        <v>465</v>
      </c>
      <c r="D13" s="450" t="s">
        <v>466</v>
      </c>
      <c r="E13" s="450">
        <v>4.399</v>
      </c>
      <c r="F13" s="451">
        <v>44375</v>
      </c>
    </row>
    <row r="14" spans="1:6" ht="28.8">
      <c r="A14" s="448" t="s">
        <v>473</v>
      </c>
      <c r="B14" s="448" t="s">
        <v>474</v>
      </c>
      <c r="C14" s="449" t="s">
        <v>475</v>
      </c>
      <c r="D14" s="450" t="s">
        <v>476</v>
      </c>
      <c r="E14" s="450">
        <v>4.4480000000000004</v>
      </c>
      <c r="F14" s="451">
        <v>44375</v>
      </c>
    </row>
    <row r="15" spans="1:6">
      <c r="A15" s="448" t="s">
        <v>477</v>
      </c>
      <c r="B15" s="448" t="s">
        <v>478</v>
      </c>
      <c r="C15" s="449" t="s">
        <v>465</v>
      </c>
      <c r="D15" s="450" t="s">
        <v>470</v>
      </c>
      <c r="E15" s="450">
        <v>4.5289999999999999</v>
      </c>
      <c r="F15" s="451">
        <v>44375</v>
      </c>
    </row>
    <row r="16" spans="1:6">
      <c r="A16" s="448" t="s">
        <v>479</v>
      </c>
      <c r="B16" s="448" t="s">
        <v>480</v>
      </c>
      <c r="C16" s="449" t="s">
        <v>481</v>
      </c>
      <c r="D16" s="450" t="s">
        <v>482</v>
      </c>
      <c r="E16" s="450">
        <v>4.5490000000000004</v>
      </c>
      <c r="F16" s="451">
        <v>44375</v>
      </c>
    </row>
    <row r="17" spans="1:6" ht="28.8">
      <c r="A17" s="448" t="s">
        <v>479</v>
      </c>
      <c r="B17" s="448" t="s">
        <v>483</v>
      </c>
      <c r="C17" s="449" t="s">
        <v>484</v>
      </c>
      <c r="D17" s="450" t="s">
        <v>482</v>
      </c>
      <c r="E17" s="450">
        <v>4.5490000000000004</v>
      </c>
      <c r="F17" s="451">
        <v>44375</v>
      </c>
    </row>
    <row r="18" spans="1:6">
      <c r="A18" s="448" t="s">
        <v>485</v>
      </c>
      <c r="B18" s="448" t="s">
        <v>486</v>
      </c>
      <c r="C18" s="449" t="s">
        <v>487</v>
      </c>
      <c r="D18" s="450" t="s">
        <v>482</v>
      </c>
      <c r="E18" s="450">
        <v>4.5490000000000004</v>
      </c>
      <c r="F18" s="451">
        <v>44375</v>
      </c>
    </row>
    <row r="19" spans="1:6">
      <c r="A19" s="448" t="s">
        <v>479</v>
      </c>
      <c r="B19" s="448" t="s">
        <v>488</v>
      </c>
      <c r="C19" s="449" t="s">
        <v>489</v>
      </c>
      <c r="D19" s="450" t="s">
        <v>466</v>
      </c>
      <c r="E19" s="450">
        <v>4.5490000000000004</v>
      </c>
      <c r="F19" s="451">
        <v>44375</v>
      </c>
    </row>
    <row r="20" spans="1:6">
      <c r="A20" s="448" t="s">
        <v>490</v>
      </c>
      <c r="B20" s="448" t="s">
        <v>491</v>
      </c>
      <c r="C20" s="449" t="s">
        <v>492</v>
      </c>
      <c r="D20" s="450" t="s">
        <v>493</v>
      </c>
      <c r="E20" s="450">
        <v>4.5590000000000002</v>
      </c>
      <c r="F20" s="451">
        <v>44375</v>
      </c>
    </row>
    <row r="21" spans="1:6">
      <c r="A21" s="448" t="s">
        <v>494</v>
      </c>
      <c r="B21" s="448" t="s">
        <v>495</v>
      </c>
      <c r="C21" s="449" t="s">
        <v>496</v>
      </c>
      <c r="D21" s="450" t="s">
        <v>482</v>
      </c>
      <c r="E21" s="450">
        <v>4.5979999999999999</v>
      </c>
      <c r="F21" s="451">
        <v>44375</v>
      </c>
    </row>
    <row r="22" spans="1:6">
      <c r="A22" s="448" t="s">
        <v>497</v>
      </c>
      <c r="B22" s="448" t="s">
        <v>498</v>
      </c>
      <c r="C22" s="449" t="s">
        <v>492</v>
      </c>
      <c r="D22" s="450" t="s">
        <v>470</v>
      </c>
      <c r="E22" s="450">
        <v>4.5990000000000002</v>
      </c>
      <c r="F22" s="451">
        <v>44375</v>
      </c>
    </row>
    <row r="23" spans="1:6" ht="28.8">
      <c r="A23" s="448" t="s">
        <v>499</v>
      </c>
      <c r="B23" s="448" t="s">
        <v>500</v>
      </c>
      <c r="C23" s="449" t="s">
        <v>501</v>
      </c>
      <c r="D23" s="450" t="s">
        <v>466</v>
      </c>
      <c r="E23" s="450">
        <v>4.5990000000000002</v>
      </c>
      <c r="F23" s="451">
        <v>44375</v>
      </c>
    </row>
    <row r="24" spans="1:6">
      <c r="A24" s="448" t="s">
        <v>499</v>
      </c>
      <c r="B24" s="448" t="s">
        <v>502</v>
      </c>
      <c r="C24" s="449" t="s">
        <v>503</v>
      </c>
      <c r="D24" s="450" t="s">
        <v>466</v>
      </c>
      <c r="E24" s="450">
        <v>4.5990000000000002</v>
      </c>
      <c r="F24" s="451">
        <v>44375</v>
      </c>
    </row>
    <row r="25" spans="1:6">
      <c r="A25" s="448" t="s">
        <v>499</v>
      </c>
      <c r="B25" s="448" t="s">
        <v>504</v>
      </c>
      <c r="C25" s="449" t="s">
        <v>469</v>
      </c>
      <c r="D25" s="450" t="s">
        <v>466</v>
      </c>
      <c r="E25" s="450">
        <v>4.5990000000000002</v>
      </c>
      <c r="F25" s="451">
        <v>44375</v>
      </c>
    </row>
    <row r="27" spans="1:6" ht="14.4" customHeight="1">
      <c r="A27" s="585" t="s">
        <v>461</v>
      </c>
      <c r="B27" s="586"/>
    </row>
    <row r="28" spans="1:6">
      <c r="A28" s="452" t="s">
        <v>505</v>
      </c>
      <c r="B28" s="450">
        <v>4.5190000000000001</v>
      </c>
    </row>
    <row r="29" spans="1:6">
      <c r="A29" s="452" t="s">
        <v>506</v>
      </c>
      <c r="B29" s="450">
        <v>9.7000000000000003E-2</v>
      </c>
    </row>
    <row r="30" spans="1:6">
      <c r="A30" s="452" t="s">
        <v>507</v>
      </c>
      <c r="B30" s="450">
        <v>4.2990000000000004</v>
      </c>
    </row>
    <row r="31" spans="1:6">
      <c r="A31" s="452" t="s">
        <v>508</v>
      </c>
      <c r="B31" s="450">
        <v>4.5990000000000002</v>
      </c>
    </row>
    <row r="32" spans="1:6">
      <c r="A32" s="445" t="s">
        <v>509</v>
      </c>
    </row>
  </sheetData>
  <mergeCells count="3">
    <mergeCell ref="A5:D5"/>
    <mergeCell ref="A9:F9"/>
    <mergeCell ref="A27:B27"/>
  </mergeCells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3"/>
  <sheetViews>
    <sheetView zoomScaleSheetLayoutView="100" workbookViewId="0">
      <selection activeCell="C182" sqref="C182"/>
    </sheetView>
  </sheetViews>
  <sheetFormatPr defaultColWidth="9.109375" defaultRowHeight="13.2"/>
  <cols>
    <col min="1" max="1" width="44.5546875" style="9" customWidth="1"/>
    <col min="2" max="2" width="16" style="9" bestFit="1" customWidth="1"/>
    <col min="3" max="3" width="12.44140625" style="9" customWidth="1"/>
    <col min="4" max="4" width="14.6640625" style="10" customWidth="1"/>
    <col min="5" max="5" width="15.44140625" style="10" customWidth="1"/>
    <col min="6" max="6" width="13.33203125" style="10" customWidth="1"/>
    <col min="7" max="7" width="28.109375" style="10" customWidth="1"/>
    <col min="8" max="8" width="9.109375" style="9"/>
    <col min="9" max="9" width="14.5546875" style="9" customWidth="1"/>
    <col min="10" max="10" width="13.44140625" style="9" customWidth="1"/>
    <col min="11" max="16384" width="9.109375" style="9"/>
  </cols>
  <sheetData>
    <row r="1" spans="1:7" ht="15.6">
      <c r="A1" s="283" t="s">
        <v>193</v>
      </c>
    </row>
    <row r="2" spans="1:7" ht="15.6">
      <c r="A2" s="318" t="s">
        <v>256</v>
      </c>
    </row>
    <row r="3" spans="1:7" ht="15.6">
      <c r="A3" s="318" t="s">
        <v>257</v>
      </c>
    </row>
    <row r="4" spans="1:7" ht="15.6">
      <c r="A4" s="318" t="s">
        <v>259</v>
      </c>
    </row>
    <row r="5" spans="1:7" s="4" customFormat="1" ht="15.6" customHeight="1">
      <c r="A5" s="283" t="s">
        <v>254</v>
      </c>
      <c r="C5" s="138"/>
      <c r="D5" s="138"/>
      <c r="E5" s="138"/>
      <c r="F5" s="138"/>
      <c r="G5" s="6"/>
    </row>
    <row r="6" spans="1:7" s="4" customFormat="1" ht="15.6" customHeight="1">
      <c r="A6" s="284" t="s">
        <v>258</v>
      </c>
      <c r="B6" s="138"/>
      <c r="C6" s="138"/>
      <c r="D6" s="138"/>
      <c r="E6" s="138"/>
      <c r="F6" s="138"/>
      <c r="G6" s="6"/>
    </row>
    <row r="7" spans="1:7" s="4" customFormat="1" ht="15.6" hidden="1" customHeight="1">
      <c r="A7" s="137"/>
      <c r="B7" s="138"/>
      <c r="C7" s="138"/>
      <c r="D7" s="138"/>
      <c r="E7" s="138"/>
      <c r="F7" s="138"/>
      <c r="G7" s="6"/>
    </row>
    <row r="8" spans="1:7" s="4" customFormat="1" ht="15.6" hidden="1" customHeight="1">
      <c r="A8" s="285" t="s">
        <v>264</v>
      </c>
      <c r="B8" s="138"/>
      <c r="C8" s="138"/>
      <c r="D8" s="138"/>
      <c r="E8" s="138"/>
      <c r="F8" s="138"/>
      <c r="G8" s="6"/>
    </row>
    <row r="9" spans="1:7" s="4" customFormat="1" ht="15.6" customHeight="1">
      <c r="A9" s="318" t="s">
        <v>261</v>
      </c>
      <c r="B9" s="138"/>
      <c r="C9" s="138"/>
      <c r="D9" s="138"/>
      <c r="E9" s="138"/>
      <c r="F9" s="138"/>
      <c r="G9" s="6"/>
    </row>
    <row r="10" spans="1:7" s="4" customFormat="1" ht="16.5" customHeight="1">
      <c r="A10" s="7"/>
      <c r="B10" s="5"/>
      <c r="C10" s="5"/>
      <c r="D10" s="6"/>
      <c r="E10" s="6"/>
      <c r="F10" s="6"/>
      <c r="G10" s="6"/>
    </row>
    <row r="11" spans="1:7" s="4" customFormat="1" ht="16.5" customHeight="1" thickBot="1">
      <c r="A11" s="319" t="s">
        <v>412</v>
      </c>
      <c r="B11" s="5"/>
      <c r="C11" s="5"/>
      <c r="D11" s="6"/>
      <c r="E11" s="6"/>
      <c r="F11" s="6"/>
      <c r="G11" s="6"/>
    </row>
    <row r="12" spans="1:7" s="8" customFormat="1" ht="17.399999999999999">
      <c r="A12" s="469" t="s">
        <v>514</v>
      </c>
      <c r="B12" s="470"/>
      <c r="C12" s="470"/>
      <c r="D12" s="470"/>
      <c r="E12" s="470"/>
      <c r="F12" s="471"/>
      <c r="G12" s="36"/>
    </row>
    <row r="13" spans="1:7" s="8" customFormat="1" ht="21.75" customHeight="1">
      <c r="A13" s="472" t="s">
        <v>45</v>
      </c>
      <c r="B13" s="473"/>
      <c r="C13" s="473"/>
      <c r="D13" s="473"/>
      <c r="E13" s="473"/>
      <c r="F13" s="474"/>
      <c r="G13" s="36"/>
    </row>
    <row r="14" spans="1:7" s="4" customFormat="1" ht="10.95" customHeight="1" thickBot="1">
      <c r="A14" s="150"/>
      <c r="B14" s="151"/>
      <c r="C14" s="151"/>
      <c r="D14" s="152"/>
      <c r="E14" s="152"/>
      <c r="F14" s="153"/>
      <c r="G14" s="6"/>
    </row>
    <row r="15" spans="1:7" s="4" customFormat="1" ht="15.75" customHeight="1" thickBot="1">
      <c r="A15" s="478" t="s">
        <v>192</v>
      </c>
      <c r="B15" s="479"/>
      <c r="C15" s="479"/>
      <c r="D15" s="479"/>
      <c r="E15" s="479"/>
      <c r="F15" s="480"/>
      <c r="G15" s="6"/>
    </row>
    <row r="16" spans="1:7" s="4" customFormat="1" ht="15.75" customHeight="1">
      <c r="A16" s="64" t="s">
        <v>191</v>
      </c>
      <c r="B16" s="40"/>
      <c r="C16" s="40"/>
      <c r="D16" s="260"/>
      <c r="E16" s="115" t="s">
        <v>40</v>
      </c>
      <c r="F16" s="41" t="s">
        <v>2</v>
      </c>
      <c r="G16" s="6"/>
    </row>
    <row r="17" spans="1:7" s="11" customFormat="1" ht="15.75" customHeight="1">
      <c r="A17" s="124" t="str">
        <f>A56</f>
        <v>1. Mão-de-obra</v>
      </c>
      <c r="B17" s="125"/>
      <c r="C17" s="126"/>
      <c r="D17" s="126"/>
      <c r="E17" s="257">
        <f>+F154</f>
        <v>5503.6930142350284</v>
      </c>
      <c r="F17" s="127">
        <f>IFERROR(E17/$E$39,0)</f>
        <v>0.4375540596218056</v>
      </c>
      <c r="G17" s="44"/>
    </row>
    <row r="18" spans="1:7" s="4" customFormat="1" ht="15.75" customHeight="1">
      <c r="A18" s="49" t="str">
        <f>A58</f>
        <v>1.1. Coletor Turno Dia</v>
      </c>
      <c r="B18" s="45"/>
      <c r="C18" s="47"/>
      <c r="D18" s="47"/>
      <c r="E18" s="258">
        <f>F69</f>
        <v>2755.7290267369299</v>
      </c>
      <c r="F18" s="58">
        <f>IFERROR(E18/$E$39,0)</f>
        <v>0.21908569750305837</v>
      </c>
      <c r="G18" s="6"/>
    </row>
    <row r="19" spans="1:7" s="4" customFormat="1" ht="15.75" hidden="1" customHeight="1">
      <c r="A19" s="49" t="str">
        <f>A71</f>
        <v>1.2. Coletor Turno Noite</v>
      </c>
      <c r="B19" s="45"/>
      <c r="C19" s="47"/>
      <c r="D19" s="47"/>
      <c r="E19" s="258">
        <f>F88</f>
        <v>0</v>
      </c>
      <c r="F19" s="58">
        <f t="shared" ref="F19:F38" si="0">IFERROR(E19/$E$39,0)</f>
        <v>0</v>
      </c>
      <c r="G19" s="6"/>
    </row>
    <row r="20" spans="1:7" s="4" customFormat="1" ht="15.75" customHeight="1">
      <c r="A20" s="49" t="str">
        <f>A90</f>
        <v>1.2. Motorista Turno do Dia</v>
      </c>
      <c r="B20" s="45"/>
      <c r="C20" s="47"/>
      <c r="D20" s="47"/>
      <c r="E20" s="258">
        <f>F103</f>
        <v>1641.3015625974547</v>
      </c>
      <c r="F20" s="58">
        <f t="shared" si="0"/>
        <v>0.13048659507727792</v>
      </c>
      <c r="G20" s="6"/>
    </row>
    <row r="21" spans="1:7" s="4" customFormat="1" ht="15.75" customHeight="1">
      <c r="A21" s="49" t="str">
        <f>A106</f>
        <v>1.3. Encarregado/Supervisor</v>
      </c>
      <c r="B21" s="45"/>
      <c r="C21" s="47"/>
      <c r="D21" s="47"/>
      <c r="E21" s="258">
        <f>F125</f>
        <v>406.57284608945452</v>
      </c>
      <c r="F21" s="58">
        <f t="shared" si="0"/>
        <v>3.2323314341535597E-2</v>
      </c>
      <c r="G21" s="6"/>
    </row>
    <row r="22" spans="1:7" s="4" customFormat="1" ht="15.75" customHeight="1">
      <c r="A22" s="49" t="str">
        <f>A127</f>
        <v>1.4. Vale Transporte</v>
      </c>
      <c r="B22" s="45"/>
      <c r="C22" s="47"/>
      <c r="D22" s="47"/>
      <c r="E22" s="258">
        <f>F133</f>
        <v>124.63006153846155</v>
      </c>
      <c r="F22" s="58">
        <f t="shared" si="0"/>
        <v>9.9083268699805722E-3</v>
      </c>
      <c r="G22" s="6"/>
    </row>
    <row r="23" spans="1:7" s="4" customFormat="1" ht="15.75" customHeight="1">
      <c r="A23" s="49" t="str">
        <f>A135</f>
        <v>1.5. Vale-refeição (diário)</v>
      </c>
      <c r="B23" s="45"/>
      <c r="C23" s="47"/>
      <c r="D23" s="47"/>
      <c r="E23" s="258">
        <f>F140</f>
        <v>527.78399999999999</v>
      </c>
      <c r="F23" s="58">
        <f t="shared" si="0"/>
        <v>4.1959831554219257E-2</v>
      </c>
      <c r="G23" s="6"/>
    </row>
    <row r="24" spans="1:7" s="4" customFormat="1" ht="15.75" customHeight="1">
      <c r="A24" s="49" t="str">
        <f>A142</f>
        <v>1.6. Auxílio Alimentação (mensal)</v>
      </c>
      <c r="B24" s="45"/>
      <c r="C24" s="47"/>
      <c r="D24" s="47"/>
      <c r="E24" s="258">
        <f>F146</f>
        <v>34.718727272727278</v>
      </c>
      <c r="F24" s="58">
        <f t="shared" si="0"/>
        <v>2.7602048340618791E-3</v>
      </c>
      <c r="G24" s="6"/>
    </row>
    <row r="25" spans="1:7" s="4" customFormat="1" ht="15.75" customHeight="1">
      <c r="A25" s="49" t="str">
        <f>A148</f>
        <v xml:space="preserve">1.7. Plano de Benefício Social  </v>
      </c>
      <c r="B25" s="45"/>
      <c r="C25" s="47"/>
      <c r="D25" s="47"/>
      <c r="E25" s="258">
        <f>F152</f>
        <v>12.956790000000002</v>
      </c>
      <c r="F25" s="58">
        <f t="shared" si="0"/>
        <v>1.0300894416719578E-3</v>
      </c>
      <c r="G25" s="6"/>
    </row>
    <row r="26" spans="1:7" s="11" customFormat="1" ht="15.75" customHeight="1">
      <c r="A26" s="467" t="str">
        <f>A156</f>
        <v>2. Uniformes e Equipamentos de Proteção Individual</v>
      </c>
      <c r="B26" s="468"/>
      <c r="C26" s="468"/>
      <c r="D26" s="126"/>
      <c r="E26" s="257">
        <f>+F188</f>
        <v>126.55848863636365</v>
      </c>
      <c r="F26" s="127">
        <f t="shared" si="0"/>
        <v>1.0061640491069055E-2</v>
      </c>
      <c r="G26" s="44"/>
    </row>
    <row r="27" spans="1:7" s="11" customFormat="1" ht="15.75" customHeight="1">
      <c r="A27" s="442" t="str">
        <f>A190</f>
        <v>3. Veículos e Equipamentos</v>
      </c>
      <c r="B27" s="136"/>
      <c r="C27" s="126"/>
      <c r="D27" s="126"/>
      <c r="E27" s="257">
        <f>+F271</f>
        <v>3868.1293970550828</v>
      </c>
      <c r="F27" s="127">
        <f t="shared" si="0"/>
        <v>0.30752364211562866</v>
      </c>
      <c r="G27" s="44"/>
    </row>
    <row r="28" spans="1:7" s="4" customFormat="1" ht="15.75" customHeight="1">
      <c r="A28" s="65" t="str">
        <f>A192</f>
        <v xml:space="preserve">3.1. Veículo Coletor com caçamba </v>
      </c>
      <c r="B28" s="46"/>
      <c r="C28" s="47"/>
      <c r="D28" s="47"/>
      <c r="E28" s="258">
        <f>SUM(E29:E34)</f>
        <v>3868.1293970550828</v>
      </c>
      <c r="F28" s="143">
        <f t="shared" si="0"/>
        <v>0.30752364211562866</v>
      </c>
      <c r="G28" s="6"/>
    </row>
    <row r="29" spans="1:7" s="4" customFormat="1" ht="15.75" customHeight="1">
      <c r="A29" s="65" t="str">
        <f>A194</f>
        <v>3.1.1. Depreciação</v>
      </c>
      <c r="B29" s="46"/>
      <c r="C29" s="47"/>
      <c r="D29" s="47"/>
      <c r="E29" s="258">
        <f>F209</f>
        <v>462.87792640833334</v>
      </c>
      <c r="F29" s="143">
        <f t="shared" si="0"/>
        <v>3.679967528811022E-2</v>
      </c>
      <c r="G29" s="6"/>
    </row>
    <row r="30" spans="1:7" s="4" customFormat="1" ht="15.75" customHeight="1">
      <c r="A30" s="65" t="str">
        <f>A211</f>
        <v>3.1.2. Remuneração do Capital</v>
      </c>
      <c r="B30" s="46"/>
      <c r="C30" s="47"/>
      <c r="D30" s="47"/>
      <c r="E30" s="258">
        <f>F226</f>
        <v>279.49257001852089</v>
      </c>
      <c r="F30" s="143">
        <f t="shared" si="0"/>
        <v>2.2220190757266171E-2</v>
      </c>
      <c r="G30" s="6"/>
    </row>
    <row r="31" spans="1:7" s="4" customFormat="1" ht="15.75" customHeight="1">
      <c r="A31" s="65" t="str">
        <f>A228</f>
        <v>3.1.3. Impostos e Seguros</v>
      </c>
      <c r="B31" s="46"/>
      <c r="C31" s="47"/>
      <c r="D31" s="47"/>
      <c r="E31" s="258">
        <f>F234</f>
        <v>158.62701312500002</v>
      </c>
      <c r="F31" s="143">
        <f t="shared" si="0"/>
        <v>1.2611149164570975E-2</v>
      </c>
      <c r="G31" s="6"/>
    </row>
    <row r="32" spans="1:7" s="4" customFormat="1" ht="15.75" customHeight="1">
      <c r="A32" s="65" t="str">
        <f>A236</f>
        <v>3.1.4. Consumos</v>
      </c>
      <c r="B32" s="46"/>
      <c r="C32" s="47"/>
      <c r="D32" s="47"/>
      <c r="E32" s="258">
        <f>F254</f>
        <v>1958.6821975076364</v>
      </c>
      <c r="F32" s="143">
        <f t="shared" si="0"/>
        <v>0.1557189590356442</v>
      </c>
      <c r="G32" s="6"/>
    </row>
    <row r="33" spans="1:7" s="4" customFormat="1" ht="15.75" customHeight="1">
      <c r="A33" s="65" t="str">
        <f>A256</f>
        <v>3.1.5. Manutenção</v>
      </c>
      <c r="B33" s="46"/>
      <c r="C33" s="47"/>
      <c r="D33" s="47"/>
      <c r="E33" s="258">
        <f>F259</f>
        <v>751.55819534857153</v>
      </c>
      <c r="F33" s="143">
        <f t="shared" si="0"/>
        <v>5.9750305579591406E-2</v>
      </c>
      <c r="G33" s="6"/>
    </row>
    <row r="34" spans="1:7" s="4" customFormat="1" ht="15.75" customHeight="1">
      <c r="A34" s="65" t="str">
        <f>A261</f>
        <v>3.1.6. Pneus</v>
      </c>
      <c r="B34" s="46"/>
      <c r="C34" s="47"/>
      <c r="D34" s="47"/>
      <c r="E34" s="258">
        <f>F268</f>
        <v>256.89149464702047</v>
      </c>
      <c r="F34" s="143">
        <f t="shared" si="0"/>
        <v>2.0423362290445706E-2</v>
      </c>
      <c r="G34" s="6"/>
    </row>
    <row r="35" spans="1:7" s="11" customFormat="1" ht="15.75" customHeight="1">
      <c r="A35" s="442" t="str">
        <f>A273</f>
        <v xml:space="preserve">4. Ferramentas, Materiais de Consumo </v>
      </c>
      <c r="B35" s="136"/>
      <c r="C35" s="126"/>
      <c r="D35" s="126"/>
      <c r="E35" s="257">
        <f>+F281</f>
        <v>15.999999999999998</v>
      </c>
      <c r="F35" s="127">
        <f t="shared" si="0"/>
        <v>1.2720304231797629E-3</v>
      </c>
      <c r="G35" s="44"/>
    </row>
    <row r="36" spans="1:7" s="11" customFormat="1" ht="15.75" customHeight="1">
      <c r="A36" s="442" t="str">
        <f>A283</f>
        <v xml:space="preserve">5. Administração Local </v>
      </c>
      <c r="B36" s="136"/>
      <c r="C36" s="126"/>
      <c r="D36" s="126"/>
      <c r="E36" s="257">
        <f>F290</f>
        <v>610.83333333333337</v>
      </c>
      <c r="F36" s="127">
        <f t="shared" si="0"/>
        <v>4.8562411468269083E-2</v>
      </c>
      <c r="G36" s="44"/>
    </row>
    <row r="37" spans="1:7" s="11" customFormat="1" ht="15.75" customHeight="1">
      <c r="A37" s="442" t="str">
        <f>A292</f>
        <v>6. Monitoramento da Frota</v>
      </c>
      <c r="B37" s="136"/>
      <c r="C37" s="126"/>
      <c r="D37" s="126"/>
      <c r="E37" s="257">
        <f>+F301</f>
        <v>49.77000000000001</v>
      </c>
      <c r="F37" s="127">
        <f t="shared" si="0"/>
        <v>3.9568096351035517E-3</v>
      </c>
      <c r="G37" s="44"/>
    </row>
    <row r="38" spans="1:7" s="11" customFormat="1" ht="15.75" customHeight="1" thickBot="1">
      <c r="A38" s="442" t="str">
        <f>A305</f>
        <v>7. Benefícios e Despesas Indiretas - BDI</v>
      </c>
      <c r="B38" s="136"/>
      <c r="C38" s="126"/>
      <c r="D38" s="126"/>
      <c r="E38" s="259">
        <f>+F311</f>
        <v>2403.3312758959669</v>
      </c>
      <c r="F38" s="127">
        <f t="shared" si="0"/>
        <v>0.19106940624494417</v>
      </c>
      <c r="G38" s="44"/>
    </row>
    <row r="39" spans="1:7" s="4" customFormat="1" ht="15.75" customHeight="1" thickBot="1">
      <c r="A39" s="42" t="s">
        <v>229</v>
      </c>
      <c r="B39" s="43"/>
      <c r="C39" s="26"/>
      <c r="D39" s="26"/>
      <c r="E39" s="114">
        <f>E17+E26+E27+E35+E37+E38+E36</f>
        <v>12578.315509155776</v>
      </c>
      <c r="F39" s="142">
        <f>F17+F26+F27+F35+F37+F38+F36</f>
        <v>1</v>
      </c>
      <c r="G39" s="6"/>
    </row>
    <row r="41" spans="1:7" ht="13.8" thickBot="1"/>
    <row r="42" spans="1:7" s="4" customFormat="1" ht="15" customHeight="1" thickBot="1">
      <c r="A42" s="478" t="s">
        <v>96</v>
      </c>
      <c r="B42" s="479"/>
      <c r="C42" s="479"/>
      <c r="D42" s="479"/>
      <c r="E42" s="480"/>
      <c r="F42" s="10"/>
      <c r="G42" s="6"/>
    </row>
    <row r="43" spans="1:7" s="4" customFormat="1" ht="15" customHeight="1" thickBot="1">
      <c r="A43" s="475" t="s">
        <v>41</v>
      </c>
      <c r="B43" s="476"/>
      <c r="C43" s="476"/>
      <c r="D43" s="477"/>
      <c r="E43" s="48" t="s">
        <v>42</v>
      </c>
      <c r="F43" s="10"/>
      <c r="G43" s="6"/>
    </row>
    <row r="44" spans="1:7" s="4" customFormat="1" ht="15" customHeight="1">
      <c r="A44" s="73" t="str">
        <f>+A58</f>
        <v>1.1. Coletor Turno Dia</v>
      </c>
      <c r="B44" s="74"/>
      <c r="C44" s="74"/>
      <c r="D44" s="75"/>
      <c r="E44" s="76">
        <f>C68</f>
        <v>2</v>
      </c>
      <c r="F44" s="10"/>
      <c r="G44" s="6"/>
    </row>
    <row r="45" spans="1:7" s="4" customFormat="1" ht="15" hidden="1" customHeight="1">
      <c r="A45" s="67" t="str">
        <f>+A71</f>
        <v>1.2. Coletor Turno Noite</v>
      </c>
      <c r="B45" s="66"/>
      <c r="C45" s="66"/>
      <c r="D45" s="77"/>
      <c r="E45" s="70">
        <f>C87</f>
        <v>0</v>
      </c>
      <c r="F45" s="10"/>
      <c r="G45" s="6"/>
    </row>
    <row r="46" spans="1:7" s="4" customFormat="1" ht="15" customHeight="1">
      <c r="A46" s="67" t="str">
        <f>+A90</f>
        <v>1.2. Motorista Turno do Dia</v>
      </c>
      <c r="B46" s="66"/>
      <c r="C46" s="66"/>
      <c r="D46" s="77"/>
      <c r="E46" s="70">
        <f>C102</f>
        <v>1</v>
      </c>
      <c r="F46" s="10"/>
      <c r="G46" s="6"/>
    </row>
    <row r="47" spans="1:7" s="4" customFormat="1" ht="15" customHeight="1">
      <c r="A47" s="67" t="str">
        <f>+A106</f>
        <v>1.3. Encarregado/Supervisor</v>
      </c>
      <c r="B47" s="66"/>
      <c r="C47" s="66"/>
      <c r="D47" s="77"/>
      <c r="E47" s="70">
        <f>C124</f>
        <v>1</v>
      </c>
      <c r="F47" s="10"/>
      <c r="G47" s="6"/>
    </row>
    <row r="48" spans="1:7" s="4" customFormat="1" ht="15" customHeight="1" thickBot="1">
      <c r="A48" s="71" t="s">
        <v>60</v>
      </c>
      <c r="B48" s="72"/>
      <c r="C48" s="72"/>
      <c r="D48" s="78"/>
      <c r="E48" s="79">
        <f>SUM(E44:E47)</f>
        <v>4</v>
      </c>
      <c r="F48" s="10"/>
      <c r="G48" s="6"/>
    </row>
    <row r="49" spans="1:7" s="4" customFormat="1" ht="15" customHeight="1" thickBot="1">
      <c r="A49" s="128"/>
      <c r="B49" s="129"/>
      <c r="C49" s="59"/>
      <c r="D49" s="59"/>
      <c r="E49" s="130"/>
      <c r="F49" s="10"/>
      <c r="G49" s="6"/>
    </row>
    <row r="50" spans="1:7" s="4" customFormat="1" ht="15" customHeight="1">
      <c r="A50" s="465" t="s">
        <v>58</v>
      </c>
      <c r="B50" s="466"/>
      <c r="C50" s="466"/>
      <c r="D50" s="466"/>
      <c r="E50" s="48" t="s">
        <v>42</v>
      </c>
      <c r="F50" s="9"/>
      <c r="G50" s="6"/>
    </row>
    <row r="51" spans="1:7" s="4" customFormat="1" ht="15" customHeight="1" thickBot="1">
      <c r="A51" s="131" t="str">
        <f>+A192</f>
        <v xml:space="preserve">3.1. Veículo Coletor com caçamba </v>
      </c>
      <c r="B51" s="132"/>
      <c r="C51" s="132"/>
      <c r="D51" s="133"/>
      <c r="E51" s="134">
        <f>C208</f>
        <v>1</v>
      </c>
      <c r="F51" s="9"/>
      <c r="G51" s="6"/>
    </row>
    <row r="52" spans="1:7" s="4" customFormat="1" ht="15" customHeight="1">
      <c r="A52" s="59"/>
      <c r="B52" s="59"/>
      <c r="C52" s="59"/>
      <c r="D52" s="54"/>
      <c r="E52" s="250"/>
      <c r="F52" s="9"/>
      <c r="G52" s="6"/>
    </row>
    <row r="53" spans="1:7" s="4" customFormat="1" ht="13.8" thickBot="1">
      <c r="A53" s="59"/>
      <c r="B53" s="59"/>
      <c r="C53" s="59"/>
      <c r="D53" s="54"/>
      <c r="E53" s="68"/>
      <c r="F53" s="9"/>
      <c r="G53" s="6"/>
    </row>
    <row r="54" spans="1:7" s="11" customFormat="1" ht="15.75" customHeight="1" thickBot="1">
      <c r="A54" s="261" t="s">
        <v>187</v>
      </c>
      <c r="B54" s="295">
        <f>'8. Horários'!G51</f>
        <v>0.41475000000000006</v>
      </c>
      <c r="C54" s="35"/>
      <c r="D54" s="34"/>
      <c r="E54" s="155"/>
      <c r="G54" s="44"/>
    </row>
    <row r="55" spans="1:7" s="4" customFormat="1" ht="15.75" customHeight="1">
      <c r="A55" s="59"/>
      <c r="B55" s="59"/>
      <c r="C55" s="59"/>
      <c r="D55" s="54"/>
      <c r="E55" s="68"/>
      <c r="F55" s="9"/>
      <c r="G55" s="6"/>
    </row>
    <row r="56" spans="1:7" ht="13.2" customHeight="1">
      <c r="A56" s="11" t="s">
        <v>49</v>
      </c>
    </row>
    <row r="57" spans="1:7" ht="11.25" customHeight="1"/>
    <row r="58" spans="1:7" ht="13.95" customHeight="1" thickBot="1">
      <c r="A58" s="9" t="s">
        <v>99</v>
      </c>
    </row>
    <row r="59" spans="1:7" ht="13.95" customHeight="1" thickBot="1">
      <c r="A59" s="60" t="s">
        <v>64</v>
      </c>
      <c r="B59" s="61" t="s">
        <v>65</v>
      </c>
      <c r="C59" s="61" t="s">
        <v>42</v>
      </c>
      <c r="D59" s="62" t="s">
        <v>225</v>
      </c>
      <c r="E59" s="62" t="s">
        <v>66</v>
      </c>
      <c r="F59" s="63" t="s">
        <v>67</v>
      </c>
    </row>
    <row r="60" spans="1:7" ht="13.2" customHeight="1">
      <c r="A60" s="13" t="s">
        <v>207</v>
      </c>
      <c r="B60" s="14" t="s">
        <v>8</v>
      </c>
      <c r="C60" s="14">
        <v>1</v>
      </c>
      <c r="D60" s="294">
        <v>1397.27</v>
      </c>
      <c r="E60" s="15">
        <f>C60*D60</f>
        <v>1397.27</v>
      </c>
    </row>
    <row r="61" spans="1:7" hidden="1">
      <c r="A61" s="16" t="s">
        <v>36</v>
      </c>
      <c r="B61" s="17" t="s">
        <v>0</v>
      </c>
      <c r="C61" s="88"/>
      <c r="D61" s="18">
        <f>D60/220*2</f>
        <v>12.702454545454545</v>
      </c>
      <c r="E61" s="18">
        <f>C61*D61</f>
        <v>0</v>
      </c>
    </row>
    <row r="62" spans="1:7" ht="13.2" hidden="1" customHeight="1">
      <c r="A62" s="16" t="s">
        <v>37</v>
      </c>
      <c r="B62" s="17" t="s">
        <v>0</v>
      </c>
      <c r="C62" s="88"/>
      <c r="D62" s="18">
        <f>D60/220*1.5</f>
        <v>9.5268409090909092</v>
      </c>
      <c r="E62" s="18">
        <f>C62*D62</f>
        <v>0</v>
      </c>
    </row>
    <row r="63" spans="1:7" ht="13.2" hidden="1" customHeight="1">
      <c r="A63" s="16" t="s">
        <v>211</v>
      </c>
      <c r="B63" s="17" t="s">
        <v>35</v>
      </c>
      <c r="D63" s="18">
        <f>63/302*(SUM(E61:E62))</f>
        <v>0</v>
      </c>
      <c r="E63" s="18">
        <f>D63</f>
        <v>0</v>
      </c>
    </row>
    <row r="64" spans="1:7">
      <c r="A64" s="16" t="s">
        <v>1</v>
      </c>
      <c r="B64" s="17" t="s">
        <v>2</v>
      </c>
      <c r="C64" s="17">
        <v>40</v>
      </c>
      <c r="D64" s="83">
        <f>SUM(E60:E63)</f>
        <v>1397.27</v>
      </c>
      <c r="E64" s="18">
        <f>C64*D64/100</f>
        <v>558.90800000000002</v>
      </c>
    </row>
    <row r="65" spans="1:8">
      <c r="A65" s="116" t="s">
        <v>3</v>
      </c>
      <c r="B65" s="117"/>
      <c r="C65" s="117"/>
      <c r="D65" s="118"/>
      <c r="E65" s="119">
        <f>SUM(E60:E64)</f>
        <v>1956.1779999999999</v>
      </c>
    </row>
    <row r="66" spans="1:8">
      <c r="A66" s="16" t="s">
        <v>4</v>
      </c>
      <c r="B66" s="17" t="s">
        <v>2</v>
      </c>
      <c r="C66" s="140">
        <f>'4.Enc Sociais'!$C$38*100</f>
        <v>69.828960000000009</v>
      </c>
      <c r="D66" s="18">
        <f>E65</f>
        <v>1956.1779999999999</v>
      </c>
      <c r="E66" s="18">
        <f>D66*C66/100</f>
        <v>1365.9787531488003</v>
      </c>
    </row>
    <row r="67" spans="1:8">
      <c r="A67" s="116" t="s">
        <v>74</v>
      </c>
      <c r="B67" s="117"/>
      <c r="C67" s="117"/>
      <c r="D67" s="118"/>
      <c r="E67" s="119">
        <f>E65+E66</f>
        <v>3322.1567531487999</v>
      </c>
    </row>
    <row r="68" spans="1:8" ht="13.8" thickBot="1">
      <c r="A68" s="16" t="s">
        <v>5</v>
      </c>
      <c r="B68" s="17" t="s">
        <v>6</v>
      </c>
      <c r="C68" s="86">
        <v>2</v>
      </c>
      <c r="D68" s="18">
        <f>E67</f>
        <v>3322.1567531487999</v>
      </c>
      <c r="E68" s="18">
        <f>C68*D68</f>
        <v>6644.3135062975998</v>
      </c>
      <c r="G68" s="6"/>
      <c r="H68" s="317"/>
    </row>
    <row r="69" spans="1:8" ht="13.95" customHeight="1" thickBot="1">
      <c r="A69" s="7" t="s">
        <v>408</v>
      </c>
      <c r="D69" s="122" t="s">
        <v>186</v>
      </c>
      <c r="E69" s="296">
        <f>$B$54</f>
        <v>0.41475000000000006</v>
      </c>
      <c r="F69" s="123">
        <f>E68*E69</f>
        <v>2755.7290267369299</v>
      </c>
      <c r="G69" s="6"/>
      <c r="H69" s="317"/>
    </row>
    <row r="70" spans="1:8" ht="11.25" customHeight="1">
      <c r="A70" s="7"/>
    </row>
    <row r="71" spans="1:8" hidden="1">
      <c r="A71" s="9" t="s">
        <v>89</v>
      </c>
    </row>
    <row r="72" spans="1:8" ht="13.8" hidden="1" thickBot="1">
      <c r="A72" s="60" t="s">
        <v>64</v>
      </c>
      <c r="B72" s="61" t="s">
        <v>65</v>
      </c>
      <c r="C72" s="61" t="s">
        <v>42</v>
      </c>
      <c r="D72" s="62" t="s">
        <v>225</v>
      </c>
      <c r="E72" s="62" t="s">
        <v>66</v>
      </c>
      <c r="F72" s="63" t="s">
        <v>67</v>
      </c>
    </row>
    <row r="73" spans="1:8" hidden="1">
      <c r="A73" s="13" t="s">
        <v>207</v>
      </c>
      <c r="B73" s="14" t="s">
        <v>8</v>
      </c>
      <c r="C73" s="14">
        <v>1</v>
      </c>
      <c r="D73" s="15">
        <f>D60</f>
        <v>1397.27</v>
      </c>
      <c r="E73" s="15">
        <f>C73*D73</f>
        <v>1397.27</v>
      </c>
    </row>
    <row r="74" spans="1:8" hidden="1">
      <c r="A74" s="16" t="s">
        <v>7</v>
      </c>
      <c r="B74" s="17" t="s">
        <v>97</v>
      </c>
      <c r="C74" s="88"/>
      <c r="D74" s="18"/>
      <c r="E74" s="18"/>
    </row>
    <row r="75" spans="1:8" hidden="1">
      <c r="A75" s="16"/>
      <c r="B75" s="17" t="s">
        <v>100</v>
      </c>
      <c r="C75" s="120">
        <f>C74*8/7</f>
        <v>0</v>
      </c>
      <c r="D75" s="18">
        <f>D73/220*0.2</f>
        <v>1.2702454545454547</v>
      </c>
      <c r="E75" s="18">
        <f>C74*D75</f>
        <v>0</v>
      </c>
    </row>
    <row r="76" spans="1:8" hidden="1">
      <c r="A76" s="16" t="s">
        <v>36</v>
      </c>
      <c r="B76" s="17" t="s">
        <v>0</v>
      </c>
      <c r="C76" s="88"/>
      <c r="D76" s="18">
        <f>D73/220*2</f>
        <v>12.702454545454545</v>
      </c>
      <c r="E76" s="18">
        <f>C76*D76</f>
        <v>0</v>
      </c>
    </row>
    <row r="77" spans="1:8" hidden="1">
      <c r="A77" s="16" t="s">
        <v>98</v>
      </c>
      <c r="B77" s="17" t="s">
        <v>97</v>
      </c>
      <c r="C77" s="88"/>
      <c r="D77" s="18"/>
      <c r="E77" s="18"/>
    </row>
    <row r="78" spans="1:8" hidden="1">
      <c r="A78" s="16"/>
      <c r="B78" s="17" t="s">
        <v>100</v>
      </c>
      <c r="C78" s="120">
        <f>C77*8/7</f>
        <v>0</v>
      </c>
      <c r="D78" s="18">
        <f>D73/220*2*1.2</f>
        <v>15.242945454545453</v>
      </c>
      <c r="E78" s="18">
        <f>C78*D78</f>
        <v>0</v>
      </c>
    </row>
    <row r="79" spans="1:8" hidden="1">
      <c r="A79" s="16" t="s">
        <v>37</v>
      </c>
      <c r="B79" s="17" t="s">
        <v>0</v>
      </c>
      <c r="C79" s="88"/>
      <c r="D79" s="18">
        <f>D73/220*1.5</f>
        <v>9.5268409090909092</v>
      </c>
      <c r="E79" s="18">
        <f>C79*D79</f>
        <v>0</v>
      </c>
    </row>
    <row r="80" spans="1:8" hidden="1">
      <c r="A80" s="16" t="s">
        <v>209</v>
      </c>
      <c r="B80" s="17" t="s">
        <v>97</v>
      </c>
      <c r="C80" s="88"/>
      <c r="D80" s="18"/>
      <c r="E80" s="18"/>
    </row>
    <row r="81" spans="1:7" hidden="1">
      <c r="A81" s="16"/>
      <c r="B81" s="17" t="s">
        <v>100</v>
      </c>
      <c r="C81" s="18">
        <f>C80*8/7</f>
        <v>0</v>
      </c>
      <c r="D81" s="18">
        <f>D73/220*1.5*1.2</f>
        <v>11.43220909090909</v>
      </c>
      <c r="E81" s="18">
        <f>C81*D81</f>
        <v>0</v>
      </c>
    </row>
    <row r="82" spans="1:7" ht="13.2" hidden="1" customHeight="1">
      <c r="A82" s="16" t="s">
        <v>211</v>
      </c>
      <c r="B82" s="17" t="s">
        <v>35</v>
      </c>
      <c r="D82" s="18">
        <f>63/302*(SUM(E76:E81))</f>
        <v>0</v>
      </c>
      <c r="E82" s="18">
        <f>D82</f>
        <v>0</v>
      </c>
    </row>
    <row r="83" spans="1:7" hidden="1">
      <c r="A83" s="16" t="s">
        <v>1</v>
      </c>
      <c r="B83" s="17" t="s">
        <v>2</v>
      </c>
      <c r="C83" s="17">
        <f>+C64</f>
        <v>40</v>
      </c>
      <c r="D83" s="83">
        <f>SUM(E73:E82)</f>
        <v>1397.27</v>
      </c>
      <c r="E83" s="18">
        <f>C83*D83/100</f>
        <v>558.90800000000002</v>
      </c>
    </row>
    <row r="84" spans="1:7" hidden="1">
      <c r="A84" s="116" t="s">
        <v>3</v>
      </c>
      <c r="B84" s="117"/>
      <c r="C84" s="117"/>
      <c r="D84" s="118"/>
      <c r="E84" s="119">
        <f>SUM(E73:E83)</f>
        <v>1956.1779999999999</v>
      </c>
    </row>
    <row r="85" spans="1:7" hidden="1">
      <c r="A85" s="16" t="s">
        <v>4</v>
      </c>
      <c r="B85" s="17" t="s">
        <v>2</v>
      </c>
      <c r="C85" s="140">
        <f>'4.Enc Sociais'!$C$38*100</f>
        <v>69.828960000000009</v>
      </c>
      <c r="D85" s="18">
        <f>E84</f>
        <v>1956.1779999999999</v>
      </c>
      <c r="E85" s="18">
        <f>D85*C85/100</f>
        <v>1365.9787531488003</v>
      </c>
    </row>
    <row r="86" spans="1:7" hidden="1">
      <c r="A86" s="116" t="s">
        <v>74</v>
      </c>
      <c r="B86" s="117"/>
      <c r="C86" s="117"/>
      <c r="D86" s="118"/>
      <c r="E86" s="119">
        <f>E84+E85</f>
        <v>3322.1567531487999</v>
      </c>
    </row>
    <row r="87" spans="1:7" hidden="1">
      <c r="A87" s="16" t="s">
        <v>5</v>
      </c>
      <c r="B87" s="17" t="s">
        <v>6</v>
      </c>
      <c r="C87" s="86"/>
      <c r="D87" s="18">
        <f>E86</f>
        <v>3322.1567531487999</v>
      </c>
      <c r="E87" s="18">
        <f>C87*D87</f>
        <v>0</v>
      </c>
    </row>
    <row r="88" spans="1:7" ht="13.8" hidden="1" thickBot="1">
      <c r="D88" s="122" t="s">
        <v>186</v>
      </c>
      <c r="E88" s="50">
        <f>$B$54</f>
        <v>0.41475000000000006</v>
      </c>
      <c r="F88" s="123">
        <f>E87*E88</f>
        <v>0</v>
      </c>
    </row>
    <row r="89" spans="1:7" ht="11.25" customHeight="1"/>
    <row r="90" spans="1:7" ht="13.8" thickBot="1">
      <c r="A90" s="382" t="s">
        <v>400</v>
      </c>
    </row>
    <row r="91" spans="1:7" s="12" customFormat="1" ht="13.2" customHeight="1" thickBot="1">
      <c r="A91" s="60" t="s">
        <v>64</v>
      </c>
      <c r="B91" s="61" t="s">
        <v>65</v>
      </c>
      <c r="C91" s="61" t="s">
        <v>42</v>
      </c>
      <c r="D91" s="62" t="s">
        <v>225</v>
      </c>
      <c r="E91" s="62" t="s">
        <v>66</v>
      </c>
      <c r="F91" s="63" t="s">
        <v>67</v>
      </c>
      <c r="G91" s="10"/>
    </row>
    <row r="92" spans="1:7">
      <c r="A92" s="288" t="s">
        <v>262</v>
      </c>
      <c r="B92" s="14" t="s">
        <v>8</v>
      </c>
      <c r="C92" s="14">
        <v>1</v>
      </c>
      <c r="D92" s="294">
        <v>1804.93</v>
      </c>
      <c r="E92" s="15">
        <f>C92*D92</f>
        <v>1804.93</v>
      </c>
    </row>
    <row r="93" spans="1:7">
      <c r="A93" s="288" t="s">
        <v>263</v>
      </c>
      <c r="B93" s="14" t="s">
        <v>8</v>
      </c>
      <c r="C93" s="14">
        <v>1</v>
      </c>
      <c r="D93" s="87">
        <v>1100</v>
      </c>
      <c r="E93" s="15"/>
    </row>
    <row r="94" spans="1:7" hidden="1">
      <c r="A94" s="16" t="s">
        <v>36</v>
      </c>
      <c r="B94" s="17" t="s">
        <v>0</v>
      </c>
      <c r="C94" s="88"/>
      <c r="D94" s="18">
        <f>D92/220*2</f>
        <v>16.408454545454546</v>
      </c>
      <c r="E94" s="18">
        <f>C94*D94</f>
        <v>0</v>
      </c>
    </row>
    <row r="95" spans="1:7" hidden="1">
      <c r="A95" s="16" t="s">
        <v>37</v>
      </c>
      <c r="B95" s="17" t="s">
        <v>0</v>
      </c>
      <c r="C95" s="88"/>
      <c r="D95" s="18">
        <f>D92/220*1.5</f>
        <v>12.30634090909091</v>
      </c>
      <c r="E95" s="18">
        <f>C95*D95</f>
        <v>0</v>
      </c>
    </row>
    <row r="96" spans="1:7" ht="13.2" hidden="1" customHeight="1">
      <c r="A96" s="16" t="s">
        <v>211</v>
      </c>
      <c r="B96" s="17" t="s">
        <v>35</v>
      </c>
      <c r="D96" s="18">
        <f>63/302*(SUM(E94:E95))</f>
        <v>0</v>
      </c>
      <c r="E96" s="18">
        <f>D96</f>
        <v>0</v>
      </c>
    </row>
    <row r="97" spans="1:8">
      <c r="A97" s="16" t="s">
        <v>208</v>
      </c>
      <c r="B97" s="17"/>
      <c r="C97" s="90">
        <v>1</v>
      </c>
      <c r="D97" s="18"/>
      <c r="E97" s="18"/>
    </row>
    <row r="98" spans="1:8">
      <c r="A98" s="16" t="s">
        <v>1</v>
      </c>
      <c r="B98" s="17" t="s">
        <v>2</v>
      </c>
      <c r="C98" s="86">
        <v>20</v>
      </c>
      <c r="D98" s="83">
        <f>IF(C97=2,SUM(E92:E96),IF(C97=1,(SUM(E92:E96))*D93/D92,0))</f>
        <v>1100</v>
      </c>
      <c r="E98" s="18">
        <f>C98*D98/100</f>
        <v>220</v>
      </c>
    </row>
    <row r="99" spans="1:8" s="11" customFormat="1">
      <c r="A99" s="103" t="s">
        <v>3</v>
      </c>
      <c r="B99" s="117"/>
      <c r="C99" s="117"/>
      <c r="D99" s="118"/>
      <c r="E99" s="105">
        <f>SUM(E92:E98)</f>
        <v>2024.93</v>
      </c>
      <c r="F99" s="44"/>
      <c r="G99" s="44"/>
    </row>
    <row r="100" spans="1:8">
      <c r="A100" s="16" t="s">
        <v>4</v>
      </c>
      <c r="B100" s="17" t="s">
        <v>2</v>
      </c>
      <c r="C100" s="140">
        <f>'4.Enc Sociais'!$C$38*100</f>
        <v>69.828960000000009</v>
      </c>
      <c r="D100" s="18">
        <f>E99</f>
        <v>2024.93</v>
      </c>
      <c r="E100" s="18">
        <f>D100*C100/100</f>
        <v>1413.9875597280002</v>
      </c>
    </row>
    <row r="101" spans="1:8" s="11" customFormat="1">
      <c r="A101" s="103" t="s">
        <v>245</v>
      </c>
      <c r="B101" s="267"/>
      <c r="C101" s="267"/>
      <c r="D101" s="268"/>
      <c r="E101" s="105">
        <f>E99+E100</f>
        <v>3438.917559728</v>
      </c>
      <c r="F101" s="44"/>
      <c r="G101" s="44"/>
    </row>
    <row r="102" spans="1:8" ht="13.8" thickBot="1">
      <c r="A102" s="16" t="s">
        <v>5</v>
      </c>
      <c r="B102" s="17" t="s">
        <v>6</v>
      </c>
      <c r="C102" s="86">
        <v>1</v>
      </c>
      <c r="D102" s="18">
        <f>E101</f>
        <v>3438.917559728</v>
      </c>
      <c r="E102" s="18">
        <f>C102*D102</f>
        <v>3438.917559728</v>
      </c>
    </row>
    <row r="103" spans="1:8" ht="13.8" thickBot="1">
      <c r="A103" s="7" t="s">
        <v>521</v>
      </c>
      <c r="D103" s="122" t="s">
        <v>186</v>
      </c>
      <c r="E103" s="296">
        <f>'8. Horários'!G27</f>
        <v>0.47727272727272729</v>
      </c>
      <c r="F103" s="123">
        <f>E102*E103</f>
        <v>1641.3015625974547</v>
      </c>
      <c r="H103" s="317"/>
    </row>
    <row r="104" spans="1:8" ht="11.25" customHeight="1">
      <c r="A104" s="7" t="s">
        <v>406</v>
      </c>
    </row>
    <row r="105" spans="1:8" ht="11.25" customHeight="1">
      <c r="A105" s="7"/>
    </row>
    <row r="106" spans="1:8" ht="13.8" thickBot="1">
      <c r="A106" s="7" t="s">
        <v>401</v>
      </c>
    </row>
    <row r="107" spans="1:8" ht="13.8" thickBot="1">
      <c r="A107" s="60" t="s">
        <v>64</v>
      </c>
      <c r="B107" s="61" t="s">
        <v>65</v>
      </c>
      <c r="C107" s="61" t="s">
        <v>42</v>
      </c>
      <c r="D107" s="62" t="s">
        <v>225</v>
      </c>
      <c r="E107" s="62" t="s">
        <v>66</v>
      </c>
      <c r="F107" s="63" t="s">
        <v>67</v>
      </c>
    </row>
    <row r="108" spans="1:8">
      <c r="A108" s="288" t="s">
        <v>262</v>
      </c>
      <c r="B108" s="14" t="s">
        <v>8</v>
      </c>
      <c r="C108" s="14">
        <v>1</v>
      </c>
      <c r="D108" s="87">
        <v>1755.61</v>
      </c>
      <c r="E108" s="15">
        <f>C108*D108</f>
        <v>1755.61</v>
      </c>
    </row>
    <row r="109" spans="1:8" hidden="1">
      <c r="A109" s="288" t="s">
        <v>263</v>
      </c>
      <c r="B109" s="14" t="s">
        <v>8</v>
      </c>
      <c r="C109" s="14">
        <v>1</v>
      </c>
      <c r="D109" s="18">
        <f>D93</f>
        <v>1100</v>
      </c>
      <c r="E109" s="18"/>
    </row>
    <row r="110" spans="1:8" hidden="1">
      <c r="A110" s="16" t="s">
        <v>7</v>
      </c>
      <c r="B110" s="17" t="s">
        <v>97</v>
      </c>
      <c r="C110" s="88"/>
      <c r="D110" s="16"/>
      <c r="E110" s="16"/>
    </row>
    <row r="111" spans="1:8" hidden="1">
      <c r="A111" s="16"/>
      <c r="B111" s="17" t="s">
        <v>100</v>
      </c>
      <c r="C111" s="18">
        <f>C110*8/7</f>
        <v>0</v>
      </c>
      <c r="D111" s="18">
        <f>D108/220*0.2</f>
        <v>1.5960090909090909</v>
      </c>
      <c r="E111" s="18">
        <f>C110*D111</f>
        <v>0</v>
      </c>
    </row>
    <row r="112" spans="1:8" hidden="1">
      <c r="A112" s="16" t="s">
        <v>36</v>
      </c>
      <c r="B112" s="17" t="s">
        <v>0</v>
      </c>
      <c r="C112" s="88"/>
      <c r="D112" s="18">
        <f>D108/220*2</f>
        <v>15.960090909090908</v>
      </c>
      <c r="E112" s="18">
        <f>C112*D112</f>
        <v>0</v>
      </c>
      <c r="G112" s="10" t="s">
        <v>241</v>
      </c>
    </row>
    <row r="113" spans="1:7" hidden="1">
      <c r="A113" s="16" t="s">
        <v>98</v>
      </c>
      <c r="B113" s="17" t="s">
        <v>97</v>
      </c>
      <c r="C113" s="88"/>
      <c r="D113" s="18"/>
      <c r="E113" s="18"/>
      <c r="G113" s="10" t="s">
        <v>242</v>
      </c>
    </row>
    <row r="114" spans="1:7" hidden="1">
      <c r="A114" s="16"/>
      <c r="B114" s="17" t="s">
        <v>100</v>
      </c>
      <c r="C114" s="18">
        <f>C113*8/7</f>
        <v>0</v>
      </c>
      <c r="D114" s="18">
        <f>D108/220*2*1.2</f>
        <v>19.152109090909089</v>
      </c>
      <c r="E114" s="18">
        <f>C114*D114</f>
        <v>0</v>
      </c>
      <c r="G114" s="10" t="s">
        <v>242</v>
      </c>
    </row>
    <row r="115" spans="1:7" hidden="1">
      <c r="A115" s="16" t="s">
        <v>37</v>
      </c>
      <c r="B115" s="17" t="s">
        <v>0</v>
      </c>
      <c r="C115" s="88"/>
      <c r="D115" s="18">
        <f>D108/220*1.5</f>
        <v>11.970068181818181</v>
      </c>
      <c r="E115" s="18">
        <f>C115*D115</f>
        <v>0</v>
      </c>
      <c r="G115" s="10" t="s">
        <v>243</v>
      </c>
    </row>
    <row r="116" spans="1:7" hidden="1">
      <c r="A116" s="16" t="s">
        <v>209</v>
      </c>
      <c r="B116" s="17" t="s">
        <v>97</v>
      </c>
      <c r="C116" s="88"/>
      <c r="D116" s="18"/>
      <c r="E116" s="18"/>
      <c r="G116" s="10" t="s">
        <v>244</v>
      </c>
    </row>
    <row r="117" spans="1:7" hidden="1">
      <c r="A117" s="16"/>
      <c r="B117" s="17" t="s">
        <v>100</v>
      </c>
      <c r="C117" s="18">
        <f>C116*8/7</f>
        <v>0</v>
      </c>
      <c r="D117" s="18">
        <f>D108/220*1.5*1.2</f>
        <v>14.364081818181818</v>
      </c>
      <c r="E117" s="18">
        <f>C117*D117</f>
        <v>0</v>
      </c>
      <c r="G117" s="10" t="s">
        <v>244</v>
      </c>
    </row>
    <row r="118" spans="1:7" ht="13.2" hidden="1" customHeight="1">
      <c r="A118" s="16" t="s">
        <v>211</v>
      </c>
      <c r="B118" s="17" t="s">
        <v>35</v>
      </c>
      <c r="D118" s="18">
        <f>63/302*(SUM(E112:E117))</f>
        <v>0</v>
      </c>
      <c r="E118" s="18">
        <f>D118</f>
        <v>0</v>
      </c>
      <c r="G118" s="10" t="s">
        <v>210</v>
      </c>
    </row>
    <row r="119" spans="1:7" hidden="1">
      <c r="A119" s="16" t="s">
        <v>208</v>
      </c>
      <c r="B119" s="17"/>
      <c r="C119" s="90"/>
      <c r="D119" s="18"/>
      <c r="E119" s="18"/>
    </row>
    <row r="120" spans="1:7" hidden="1">
      <c r="A120" s="16" t="s">
        <v>1</v>
      </c>
      <c r="B120" s="17" t="s">
        <v>2</v>
      </c>
      <c r="C120" s="83">
        <f>+C98</f>
        <v>20</v>
      </c>
      <c r="D120" s="83">
        <f>IF(C119=2,SUM(E108:E118),IF(C119=1,SUM(E108:E118)*D109/D108,0))</f>
        <v>0</v>
      </c>
      <c r="E120" s="18">
        <f>C120*D120/100</f>
        <v>0</v>
      </c>
    </row>
    <row r="121" spans="1:7" s="11" customFormat="1">
      <c r="A121" s="116" t="s">
        <v>3</v>
      </c>
      <c r="B121" s="117"/>
      <c r="C121" s="117"/>
      <c r="D121" s="118"/>
      <c r="E121" s="119">
        <f>SUM(E108:E120)</f>
        <v>1755.61</v>
      </c>
      <c r="F121" s="44"/>
      <c r="G121" s="44"/>
    </row>
    <row r="122" spans="1:7">
      <c r="A122" s="16" t="s">
        <v>4</v>
      </c>
      <c r="B122" s="17" t="s">
        <v>2</v>
      </c>
      <c r="C122" s="140">
        <f>'4.Enc Sociais'!$C$38*100</f>
        <v>69.828960000000009</v>
      </c>
      <c r="D122" s="18">
        <f>E121</f>
        <v>1755.61</v>
      </c>
      <c r="E122" s="18">
        <f>D122*C122/100</f>
        <v>1225.924204656</v>
      </c>
    </row>
    <row r="123" spans="1:7" s="11" customFormat="1">
      <c r="A123" s="116" t="s">
        <v>385</v>
      </c>
      <c r="B123" s="117"/>
      <c r="C123" s="117"/>
      <c r="D123" s="118"/>
      <c r="E123" s="119">
        <f>E121+E122</f>
        <v>2981.5342046559999</v>
      </c>
      <c r="F123" s="44"/>
      <c r="G123" s="44"/>
    </row>
    <row r="124" spans="1:7" ht="13.8" thickBot="1">
      <c r="A124" s="16" t="s">
        <v>5</v>
      </c>
      <c r="B124" s="17" t="s">
        <v>6</v>
      </c>
      <c r="C124" s="86">
        <v>1</v>
      </c>
      <c r="D124" s="18">
        <f>E123</f>
        <v>2981.5342046559999</v>
      </c>
      <c r="E124" s="18">
        <f>C124*D124</f>
        <v>2981.5342046559999</v>
      </c>
    </row>
    <row r="125" spans="1:7" ht="13.8" thickBot="1">
      <c r="A125" s="11" t="s">
        <v>515</v>
      </c>
      <c r="D125" s="122" t="s">
        <v>186</v>
      </c>
      <c r="E125" s="296">
        <f>6/44</f>
        <v>0.13636363636363635</v>
      </c>
      <c r="F125" s="123">
        <f>E124*E125</f>
        <v>406.57284608945452</v>
      </c>
    </row>
    <row r="126" spans="1:7" ht="11.25" customHeight="1">
      <c r="G126" s="9"/>
    </row>
    <row r="127" spans="1:7" ht="13.8" thickBot="1">
      <c r="A127" s="7" t="s">
        <v>402</v>
      </c>
      <c r="B127" s="93"/>
      <c r="D127" s="9"/>
      <c r="E127" s="317"/>
      <c r="G127" s="9"/>
    </row>
    <row r="128" spans="1:7" ht="13.8" thickBot="1">
      <c r="A128" s="60" t="s">
        <v>64</v>
      </c>
      <c r="B128" s="61" t="s">
        <v>65</v>
      </c>
      <c r="C128" s="61" t="s">
        <v>42</v>
      </c>
      <c r="D128" s="62" t="s">
        <v>225</v>
      </c>
      <c r="E128" s="62" t="s">
        <v>66</v>
      </c>
      <c r="F128" s="63" t="s">
        <v>67</v>
      </c>
      <c r="G128" s="9"/>
    </row>
    <row r="129" spans="1:7">
      <c r="A129" s="16" t="s">
        <v>90</v>
      </c>
      <c r="B129" s="17" t="s">
        <v>35</v>
      </c>
      <c r="C129" s="94">
        <v>1</v>
      </c>
      <c r="D129" s="92">
        <v>3.5</v>
      </c>
      <c r="E129" s="18"/>
      <c r="G129" s="9"/>
    </row>
    <row r="130" spans="1:7">
      <c r="A130" s="16" t="s">
        <v>91</v>
      </c>
      <c r="B130" s="17" t="s">
        <v>92</v>
      </c>
      <c r="C130" s="91">
        <v>12</v>
      </c>
      <c r="D130" s="18"/>
      <c r="E130" s="18"/>
      <c r="G130" s="9"/>
    </row>
    <row r="131" spans="1:7">
      <c r="A131" s="16" t="s">
        <v>75</v>
      </c>
      <c r="B131" s="17" t="s">
        <v>9</v>
      </c>
      <c r="C131" s="37">
        <f>$C$130*2*(C68+C87)</f>
        <v>48</v>
      </c>
      <c r="D131" s="15">
        <f>IFERROR((($C$130*2*$D$129)-(E60*0.06*C130/26))/($C$130*2),"-")</f>
        <v>1.8877653846153848</v>
      </c>
      <c r="E131" s="18">
        <f>IFERROR(C131*D131,"-")</f>
        <v>90.61273846153847</v>
      </c>
      <c r="G131" s="9"/>
    </row>
    <row r="132" spans="1:7" ht="13.8" thickBot="1">
      <c r="A132" s="13" t="s">
        <v>46</v>
      </c>
      <c r="B132" s="14" t="s">
        <v>9</v>
      </c>
      <c r="C132" s="37">
        <f>$C$130*2*(C102)</f>
        <v>24</v>
      </c>
      <c r="D132" s="15">
        <f>IFERROR((($C$130*2*$D$129)-(E92*0.06*C130/26))/($C$130*2),"-")</f>
        <v>1.4173884615384615</v>
      </c>
      <c r="E132" s="15">
        <f>IFERROR(C132*D132,"-")</f>
        <v>34.017323076923077</v>
      </c>
      <c r="G132" s="9"/>
    </row>
    <row r="133" spans="1:7" ht="13.8" thickBot="1">
      <c r="F133" s="22">
        <f>SUM(E131:E132)</f>
        <v>124.63006153846155</v>
      </c>
      <c r="G133" s="9"/>
    </row>
    <row r="134" spans="1:7" ht="11.25" customHeight="1">
      <c r="G134" s="9"/>
    </row>
    <row r="135" spans="1:7" ht="13.8" thickBot="1">
      <c r="A135" s="382" t="s">
        <v>403</v>
      </c>
      <c r="F135" s="23"/>
      <c r="G135" s="9"/>
    </row>
    <row r="136" spans="1:7" ht="13.8" thickBot="1">
      <c r="A136" s="60" t="s">
        <v>64</v>
      </c>
      <c r="B136" s="61" t="s">
        <v>65</v>
      </c>
      <c r="C136" s="61" t="s">
        <v>42</v>
      </c>
      <c r="D136" s="62" t="s">
        <v>225</v>
      </c>
      <c r="E136" s="62" t="s">
        <v>66</v>
      </c>
      <c r="F136" s="63" t="s">
        <v>67</v>
      </c>
      <c r="G136" s="9"/>
    </row>
    <row r="137" spans="1:7">
      <c r="A137" s="16" t="str">
        <f>+A131</f>
        <v>Coletor</v>
      </c>
      <c r="B137" s="17" t="s">
        <v>10</v>
      </c>
      <c r="C137" s="102">
        <f>C130*(E44+E45)</f>
        <v>24</v>
      </c>
      <c r="D137" s="95">
        <f>18.2*0.81</f>
        <v>14.742000000000001</v>
      </c>
      <c r="E137" s="50">
        <f>C137*D137</f>
        <v>353.80799999999999</v>
      </c>
      <c r="F137" s="23"/>
      <c r="G137" s="9"/>
    </row>
    <row r="138" spans="1:7">
      <c r="A138" s="313" t="s">
        <v>46</v>
      </c>
      <c r="B138" s="17" t="s">
        <v>10</v>
      </c>
      <c r="C138" s="102">
        <f>C130*(E46)</f>
        <v>12</v>
      </c>
      <c r="D138" s="95">
        <f>11.98*0.8</f>
        <v>9.5840000000000014</v>
      </c>
      <c r="E138" s="50">
        <f>C138*D138</f>
        <v>115.00800000000001</v>
      </c>
      <c r="F138" s="23"/>
      <c r="G138" s="9"/>
    </row>
    <row r="139" spans="1:7" ht="13.8" thickBot="1">
      <c r="A139" s="313" t="s">
        <v>328</v>
      </c>
      <c r="B139" s="17" t="s">
        <v>10</v>
      </c>
      <c r="C139" s="102">
        <v>4</v>
      </c>
      <c r="D139" s="95">
        <f>18.2*0.81</f>
        <v>14.742000000000001</v>
      </c>
      <c r="E139" s="50">
        <f>C139*D139</f>
        <v>58.968000000000004</v>
      </c>
      <c r="F139" s="23"/>
      <c r="G139" s="9"/>
    </row>
    <row r="140" spans="1:7" ht="13.8" thickBot="1">
      <c r="F140" s="22">
        <f>SUM(E137:E139)</f>
        <v>527.78399999999999</v>
      </c>
      <c r="G140" s="9"/>
    </row>
    <row r="141" spans="1:7">
      <c r="G141" s="9"/>
    </row>
    <row r="142" spans="1:7" ht="13.8" thickBot="1">
      <c r="A142" s="7" t="s">
        <v>404</v>
      </c>
      <c r="F142" s="23"/>
      <c r="G142" s="9"/>
    </row>
    <row r="143" spans="1:7" ht="13.8" thickBot="1">
      <c r="A143" s="60" t="s">
        <v>64</v>
      </c>
      <c r="B143" s="61" t="s">
        <v>65</v>
      </c>
      <c r="C143" s="61" t="s">
        <v>42</v>
      </c>
      <c r="D143" s="62" t="s">
        <v>225</v>
      </c>
      <c r="E143" s="62" t="s">
        <v>66</v>
      </c>
      <c r="F143" s="63" t="s">
        <v>67</v>
      </c>
      <c r="G143" s="9"/>
    </row>
    <row r="144" spans="1:7" hidden="1">
      <c r="A144" s="16" t="str">
        <f>+A137</f>
        <v>Coletor</v>
      </c>
      <c r="B144" s="17" t="s">
        <v>10</v>
      </c>
      <c r="C144" s="102">
        <f>E44+E45</f>
        <v>2</v>
      </c>
      <c r="D144" s="95"/>
      <c r="E144" s="50">
        <f>C144*D144</f>
        <v>0</v>
      </c>
      <c r="F144" s="23"/>
      <c r="G144" s="9"/>
    </row>
    <row r="145" spans="1:7" ht="13.8" thickBot="1">
      <c r="A145" s="16" t="str">
        <f>A138</f>
        <v>Motorista</v>
      </c>
      <c r="B145" s="17" t="s">
        <v>10</v>
      </c>
      <c r="C145" s="102">
        <f>E46</f>
        <v>1</v>
      </c>
      <c r="D145" s="95">
        <f>90.93*0.8</f>
        <v>72.744000000000014</v>
      </c>
      <c r="E145" s="50">
        <f>C145*D145</f>
        <v>72.744000000000014</v>
      </c>
      <c r="F145" s="23"/>
      <c r="G145" s="9"/>
    </row>
    <row r="146" spans="1:7" ht="13.8" thickBot="1">
      <c r="D146" s="122" t="s">
        <v>186</v>
      </c>
      <c r="E146" s="296">
        <f>E103</f>
        <v>0.47727272727272729</v>
      </c>
      <c r="F146" s="22">
        <f>SUM(E144:E145)*E146</f>
        <v>34.718727272727278</v>
      </c>
      <c r="G146" s="9"/>
    </row>
    <row r="147" spans="1:7">
      <c r="D147" s="122"/>
      <c r="E147" s="359"/>
      <c r="G147" s="9"/>
    </row>
    <row r="148" spans="1:7" ht="13.8" thickBot="1">
      <c r="A148" s="7" t="s">
        <v>405</v>
      </c>
      <c r="B148" s="7"/>
      <c r="C148" s="7"/>
      <c r="D148" s="322"/>
      <c r="E148" s="322"/>
      <c r="F148" s="23"/>
      <c r="G148" s="9"/>
    </row>
    <row r="149" spans="1:7" ht="13.8" thickBot="1">
      <c r="A149" s="60" t="s">
        <v>64</v>
      </c>
      <c r="B149" s="61" t="s">
        <v>65</v>
      </c>
      <c r="C149" s="61" t="s">
        <v>42</v>
      </c>
      <c r="D149" s="62" t="s">
        <v>225</v>
      </c>
      <c r="E149" s="62" t="s">
        <v>66</v>
      </c>
      <c r="F149" s="63" t="s">
        <v>67</v>
      </c>
      <c r="G149" s="9"/>
    </row>
    <row r="150" spans="1:7" ht="13.8" thickBot="1">
      <c r="A150" s="313" t="s">
        <v>348</v>
      </c>
      <c r="B150" s="356" t="s">
        <v>10</v>
      </c>
      <c r="C150" s="360">
        <f>C68</f>
        <v>2</v>
      </c>
      <c r="D150" s="361">
        <v>15.62</v>
      </c>
      <c r="E150" s="362">
        <f>C150*D150</f>
        <v>31.24</v>
      </c>
      <c r="F150" s="23"/>
      <c r="G150" s="9"/>
    </row>
    <row r="151" spans="1:7" ht="13.8" hidden="1" thickBot="1">
      <c r="A151" s="313"/>
      <c r="B151" s="356" t="s">
        <v>10</v>
      </c>
      <c r="C151" s="360">
        <v>0</v>
      </c>
      <c r="D151" s="361">
        <v>0</v>
      </c>
      <c r="E151" s="362"/>
      <c r="F151" s="23"/>
      <c r="G151" s="9"/>
    </row>
    <row r="152" spans="1:7" ht="13.8" thickBot="1">
      <c r="A152" s="363"/>
      <c r="B152" s="363"/>
      <c r="C152" s="7"/>
      <c r="D152" s="324" t="s">
        <v>347</v>
      </c>
      <c r="E152" s="373">
        <f>E69</f>
        <v>0.41475000000000006</v>
      </c>
      <c r="F152" s="364">
        <f>SUM(E150:E151)*E152</f>
        <v>12.956790000000002</v>
      </c>
      <c r="G152" s="9"/>
    </row>
    <row r="153" spans="1:7" ht="13.8" thickBot="1">
      <c r="D153" s="122"/>
      <c r="E153" s="359"/>
      <c r="G153" s="9"/>
    </row>
    <row r="154" spans="1:7" ht="13.8" thickBot="1">
      <c r="A154" s="24" t="s">
        <v>93</v>
      </c>
      <c r="B154" s="25"/>
      <c r="C154" s="25"/>
      <c r="D154" s="26"/>
      <c r="E154" s="27"/>
      <c r="F154" s="22">
        <f>F146+F140+F133+F125+F103+F88+F69+F152</f>
        <v>5503.6930142350284</v>
      </c>
      <c r="G154" s="9"/>
    </row>
    <row r="156" spans="1:7">
      <c r="A156" s="11" t="s">
        <v>47</v>
      </c>
      <c r="G156" s="9"/>
    </row>
    <row r="157" spans="1:7" ht="11.25" customHeight="1">
      <c r="G157" s="9"/>
    </row>
    <row r="158" spans="1:7" ht="13.95" customHeight="1">
      <c r="A158" s="9" t="s">
        <v>188</v>
      </c>
      <c r="G158" s="9"/>
    </row>
    <row r="159" spans="1:7" ht="11.25" customHeight="1" thickBot="1">
      <c r="G159" s="9"/>
    </row>
    <row r="160" spans="1:7" ht="27.75" customHeight="1" thickBot="1">
      <c r="A160" s="60" t="s">
        <v>64</v>
      </c>
      <c r="B160" s="61" t="s">
        <v>65</v>
      </c>
      <c r="C160" s="269" t="s">
        <v>247</v>
      </c>
      <c r="D160" s="62" t="s">
        <v>225</v>
      </c>
      <c r="E160" s="62" t="s">
        <v>66</v>
      </c>
      <c r="F160" s="63" t="s">
        <v>67</v>
      </c>
      <c r="G160" s="9"/>
    </row>
    <row r="161" spans="1:7">
      <c r="A161" s="13" t="s">
        <v>68</v>
      </c>
      <c r="B161" s="14" t="s">
        <v>10</v>
      </c>
      <c r="C161" s="311">
        <v>12</v>
      </c>
      <c r="D161" s="294">
        <v>110</v>
      </c>
      <c r="E161" s="15">
        <f>IFERROR(D161/C161,0)</f>
        <v>9.1666666666666661</v>
      </c>
      <c r="G161" s="9"/>
    </row>
    <row r="162" spans="1:7" ht="13.2" customHeight="1">
      <c r="A162" s="16" t="s">
        <v>30</v>
      </c>
      <c r="B162" s="17" t="s">
        <v>10</v>
      </c>
      <c r="C162" s="311">
        <v>4</v>
      </c>
      <c r="D162" s="310">
        <v>35</v>
      </c>
      <c r="E162" s="15">
        <f t="shared" ref="E162:E171" si="1">IFERROR(D162/C162,0)</f>
        <v>8.75</v>
      </c>
      <c r="G162" s="9"/>
    </row>
    <row r="163" spans="1:7">
      <c r="A163" s="16" t="s">
        <v>31</v>
      </c>
      <c r="B163" s="17" t="s">
        <v>10</v>
      </c>
      <c r="C163" s="311">
        <v>2</v>
      </c>
      <c r="D163" s="310">
        <v>28</v>
      </c>
      <c r="E163" s="15">
        <f t="shared" si="1"/>
        <v>14</v>
      </c>
      <c r="G163" s="9"/>
    </row>
    <row r="164" spans="1:7" ht="13.2" customHeight="1">
      <c r="A164" s="16" t="s">
        <v>32</v>
      </c>
      <c r="B164" s="17" t="s">
        <v>10</v>
      </c>
      <c r="C164" s="311">
        <v>4</v>
      </c>
      <c r="D164" s="310">
        <v>18</v>
      </c>
      <c r="E164" s="15">
        <f t="shared" si="1"/>
        <v>4.5</v>
      </c>
      <c r="G164" s="9"/>
    </row>
    <row r="165" spans="1:7" ht="13.95" customHeight="1">
      <c r="A165" s="16" t="s">
        <v>70</v>
      </c>
      <c r="B165" s="17" t="s">
        <v>50</v>
      </c>
      <c r="C165" s="311">
        <v>4</v>
      </c>
      <c r="D165" s="310">
        <v>60</v>
      </c>
      <c r="E165" s="15">
        <f t="shared" si="1"/>
        <v>15</v>
      </c>
      <c r="G165" s="9"/>
    </row>
    <row r="166" spans="1:7" ht="13.2" customHeight="1">
      <c r="A166" s="16" t="s">
        <v>94</v>
      </c>
      <c r="B166" s="17" t="s">
        <v>50</v>
      </c>
      <c r="C166" s="311">
        <v>2</v>
      </c>
      <c r="D166" s="310">
        <v>10</v>
      </c>
      <c r="E166" s="15">
        <f t="shared" si="1"/>
        <v>5</v>
      </c>
    </row>
    <row r="167" spans="1:7">
      <c r="A167" s="16" t="s">
        <v>69</v>
      </c>
      <c r="B167" s="17" t="s">
        <v>10</v>
      </c>
      <c r="C167" s="311">
        <v>6</v>
      </c>
      <c r="D167" s="310">
        <v>67</v>
      </c>
      <c r="E167" s="15">
        <f t="shared" si="1"/>
        <v>11.166666666666666</v>
      </c>
    </row>
    <row r="168" spans="1:7" s="1" customFormat="1">
      <c r="A168" s="2" t="s">
        <v>11</v>
      </c>
      <c r="B168" s="3" t="s">
        <v>10</v>
      </c>
      <c r="C168" s="311">
        <v>4</v>
      </c>
      <c r="D168" s="310">
        <v>20</v>
      </c>
      <c r="E168" s="15">
        <f t="shared" si="1"/>
        <v>5</v>
      </c>
      <c r="F168" s="38"/>
      <c r="G168" s="38"/>
    </row>
    <row r="169" spans="1:7">
      <c r="A169" s="16" t="s">
        <v>33</v>
      </c>
      <c r="B169" s="17" t="s">
        <v>50</v>
      </c>
      <c r="C169" s="311">
        <v>1</v>
      </c>
      <c r="D169" s="310">
        <v>19</v>
      </c>
      <c r="E169" s="15">
        <f t="shared" si="1"/>
        <v>19</v>
      </c>
    </row>
    <row r="170" spans="1:7" ht="13.2" customHeight="1">
      <c r="A170" s="16" t="s">
        <v>63</v>
      </c>
      <c r="B170" s="17" t="s">
        <v>51</v>
      </c>
      <c r="C170" s="311">
        <v>2</v>
      </c>
      <c r="D170" s="310">
        <v>20</v>
      </c>
      <c r="E170" s="15">
        <f t="shared" si="1"/>
        <v>10</v>
      </c>
    </row>
    <row r="171" spans="1:7">
      <c r="A171" s="313" t="s">
        <v>447</v>
      </c>
      <c r="B171" s="3" t="s">
        <v>10</v>
      </c>
      <c r="C171" s="312">
        <v>6.6666666666666666E-2</v>
      </c>
      <c r="D171" s="310">
        <v>0.5</v>
      </c>
      <c r="E171" s="15">
        <f t="shared" si="1"/>
        <v>7.5</v>
      </c>
    </row>
    <row r="172" spans="1:7" ht="13.8" thickBot="1">
      <c r="A172" s="16" t="s">
        <v>5</v>
      </c>
      <c r="B172" s="17" t="s">
        <v>6</v>
      </c>
      <c r="C172" s="69">
        <f>E44+E45</f>
        <v>2</v>
      </c>
      <c r="D172" s="18">
        <f>+SUM(E161:E171)</f>
        <v>109.08333333333333</v>
      </c>
      <c r="E172" s="18">
        <f t="shared" ref="E172" si="2">C172*D172</f>
        <v>218.16666666666666</v>
      </c>
    </row>
    <row r="173" spans="1:7" ht="13.8" thickBot="1">
      <c r="D173" s="122" t="s">
        <v>186</v>
      </c>
      <c r="E173" s="296">
        <f>$B$54</f>
        <v>0.41475000000000006</v>
      </c>
      <c r="F173" s="123">
        <f>E172*E173</f>
        <v>90.484625000000008</v>
      </c>
    </row>
    <row r="174" spans="1:7" ht="11.25" customHeight="1"/>
    <row r="175" spans="1:7" ht="13.95" customHeight="1">
      <c r="A175" s="9" t="s">
        <v>189</v>
      </c>
    </row>
    <row r="176" spans="1:7" ht="11.25" customHeight="1" thickBot="1"/>
    <row r="177" spans="1:7" ht="24.6" thickBot="1">
      <c r="A177" s="60" t="s">
        <v>64</v>
      </c>
      <c r="B177" s="61" t="s">
        <v>65</v>
      </c>
      <c r="C177" s="269" t="s">
        <v>247</v>
      </c>
      <c r="D177" s="62" t="s">
        <v>225</v>
      </c>
      <c r="E177" s="62" t="s">
        <v>66</v>
      </c>
      <c r="F177" s="63" t="s">
        <v>67</v>
      </c>
    </row>
    <row r="178" spans="1:7">
      <c r="A178" s="13" t="s">
        <v>68</v>
      </c>
      <c r="B178" s="14" t="s">
        <v>10</v>
      </c>
      <c r="C178" s="315">
        <f>C161</f>
        <v>12</v>
      </c>
      <c r="D178" s="15">
        <f>+D161</f>
        <v>110</v>
      </c>
      <c r="E178" s="15">
        <f>IFERROR(D178/C178,0)</f>
        <v>9.1666666666666661</v>
      </c>
    </row>
    <row r="179" spans="1:7">
      <c r="A179" s="16" t="s">
        <v>30</v>
      </c>
      <c r="B179" s="17" t="s">
        <v>10</v>
      </c>
      <c r="C179" s="315">
        <f>C162</f>
        <v>4</v>
      </c>
      <c r="D179" s="18">
        <f>+D162</f>
        <v>35</v>
      </c>
      <c r="E179" s="15">
        <f t="shared" ref="E179:E184" si="3">IFERROR(D179/C179,0)</f>
        <v>8.75</v>
      </c>
    </row>
    <row r="180" spans="1:7">
      <c r="A180" s="16" t="s">
        <v>31</v>
      </c>
      <c r="B180" s="17" t="s">
        <v>10</v>
      </c>
      <c r="C180" s="315">
        <f>C163</f>
        <v>2</v>
      </c>
      <c r="D180" s="18">
        <f>+D163</f>
        <v>28</v>
      </c>
      <c r="E180" s="15">
        <f t="shared" si="3"/>
        <v>14</v>
      </c>
    </row>
    <row r="181" spans="1:7">
      <c r="A181" s="16" t="s">
        <v>70</v>
      </c>
      <c r="B181" s="17" t="s">
        <v>50</v>
      </c>
      <c r="C181" s="315">
        <f>C165</f>
        <v>4</v>
      </c>
      <c r="D181" s="18">
        <f>+D165</f>
        <v>60</v>
      </c>
      <c r="E181" s="15">
        <f t="shared" si="3"/>
        <v>15</v>
      </c>
    </row>
    <row r="182" spans="1:7">
      <c r="A182" s="16" t="s">
        <v>69</v>
      </c>
      <c r="B182" s="17" t="s">
        <v>10</v>
      </c>
      <c r="C182" s="315">
        <f>C167</f>
        <v>6</v>
      </c>
      <c r="D182" s="18">
        <f>+D167</f>
        <v>67</v>
      </c>
      <c r="E182" s="15">
        <f t="shared" si="3"/>
        <v>11.166666666666666</v>
      </c>
      <c r="G182" s="9"/>
    </row>
    <row r="183" spans="1:7">
      <c r="A183" s="16" t="s">
        <v>63</v>
      </c>
      <c r="B183" s="17" t="s">
        <v>51</v>
      </c>
      <c r="C183" s="315">
        <f>C170</f>
        <v>2</v>
      </c>
      <c r="D183" s="18">
        <f>+D170</f>
        <v>20</v>
      </c>
      <c r="E183" s="15">
        <f t="shared" si="3"/>
        <v>10</v>
      </c>
      <c r="G183" s="9"/>
    </row>
    <row r="184" spans="1:7">
      <c r="A184" s="313" t="s">
        <v>447</v>
      </c>
      <c r="B184" s="3" t="s">
        <v>10</v>
      </c>
      <c r="C184" s="312">
        <f>C171</f>
        <v>6.6666666666666666E-2</v>
      </c>
      <c r="D184" s="310">
        <v>0.5</v>
      </c>
      <c r="E184" s="15">
        <f t="shared" si="3"/>
        <v>7.5</v>
      </c>
      <c r="G184" s="9"/>
    </row>
    <row r="185" spans="1:7" ht="13.8" thickBot="1">
      <c r="A185" s="16" t="s">
        <v>5</v>
      </c>
      <c r="B185" s="17" t="s">
        <v>6</v>
      </c>
      <c r="C185" s="69">
        <f>E46</f>
        <v>1</v>
      </c>
      <c r="D185" s="18">
        <f>+SUM(E178:E184)</f>
        <v>75.583333333333329</v>
      </c>
      <c r="E185" s="18">
        <f t="shared" ref="E185" si="4">C185*D185</f>
        <v>75.583333333333329</v>
      </c>
      <c r="G185" s="9"/>
    </row>
    <row r="186" spans="1:7" ht="13.8" thickBot="1">
      <c r="D186" s="122" t="s">
        <v>186</v>
      </c>
      <c r="E186" s="296">
        <f>E103</f>
        <v>0.47727272727272729</v>
      </c>
      <c r="F186" s="123">
        <f>E185*E186</f>
        <v>36.073863636363633</v>
      </c>
      <c r="G186" s="9"/>
    </row>
    <row r="187" spans="1:7" ht="11.25" customHeight="1" thickBot="1">
      <c r="G187" s="9"/>
    </row>
    <row r="188" spans="1:7" ht="13.8" thickBot="1">
      <c r="A188" s="24" t="s">
        <v>190</v>
      </c>
      <c r="B188" s="28"/>
      <c r="C188" s="28"/>
      <c r="D188" s="29"/>
      <c r="E188" s="30"/>
      <c r="F188" s="21">
        <f>+F173+F186</f>
        <v>126.55848863636365</v>
      </c>
      <c r="G188" s="9"/>
    </row>
    <row r="189" spans="1:7" ht="11.25" customHeight="1">
      <c r="G189" s="9"/>
    </row>
    <row r="190" spans="1:7">
      <c r="A190" s="11" t="s">
        <v>56</v>
      </c>
      <c r="G190" s="9"/>
    </row>
    <row r="191" spans="1:7" ht="11.25" customHeight="1">
      <c r="B191" s="107"/>
      <c r="G191" s="9"/>
    </row>
    <row r="192" spans="1:7">
      <c r="A192" s="7" t="s">
        <v>448</v>
      </c>
      <c r="G192" s="9"/>
    </row>
    <row r="193" spans="1:10" ht="11.25" customHeight="1">
      <c r="G193" s="9"/>
    </row>
    <row r="194" spans="1:10" ht="13.8" thickBot="1">
      <c r="A194" s="107" t="s">
        <v>48</v>
      </c>
      <c r="G194" s="9"/>
    </row>
    <row r="195" spans="1:10" ht="13.8" thickBot="1">
      <c r="A195" s="60" t="s">
        <v>64</v>
      </c>
      <c r="B195" s="61" t="s">
        <v>65</v>
      </c>
      <c r="C195" s="61" t="s">
        <v>42</v>
      </c>
      <c r="D195" s="62" t="s">
        <v>225</v>
      </c>
      <c r="E195" s="62" t="s">
        <v>66</v>
      </c>
      <c r="F195" s="63" t="s">
        <v>67</v>
      </c>
      <c r="G195" s="9"/>
    </row>
    <row r="196" spans="1:10">
      <c r="A196" s="13" t="s">
        <v>104</v>
      </c>
      <c r="B196" s="14" t="s">
        <v>10</v>
      </c>
      <c r="C196" s="275">
        <v>1</v>
      </c>
      <c r="D196" s="87">
        <v>178200</v>
      </c>
      <c r="E196" s="15">
        <f>C196*D196</f>
        <v>178200</v>
      </c>
      <c r="G196" s="9"/>
    </row>
    <row r="197" spans="1:10">
      <c r="A197" s="16" t="s">
        <v>101</v>
      </c>
      <c r="B197" s="17" t="s">
        <v>102</v>
      </c>
      <c r="C197" s="86">
        <v>15</v>
      </c>
      <c r="D197" s="83"/>
      <c r="E197" s="18"/>
      <c r="G197" s="9"/>
    </row>
    <row r="198" spans="1:10">
      <c r="A198" s="16" t="s">
        <v>203</v>
      </c>
      <c r="B198" s="17" t="s">
        <v>102</v>
      </c>
      <c r="C198" s="86">
        <v>0</v>
      </c>
      <c r="D198" s="18"/>
      <c r="E198" s="18"/>
      <c r="F198" s="20"/>
      <c r="I198" s="85"/>
      <c r="J198" s="85"/>
    </row>
    <row r="199" spans="1:10">
      <c r="A199" s="16" t="s">
        <v>103</v>
      </c>
      <c r="B199" s="17" t="s">
        <v>2</v>
      </c>
      <c r="C199" s="140">
        <f>IFERROR(VLOOKUP(C197,'10. Depr'!A3:B17,2,FALSE),0)</f>
        <v>70.73</v>
      </c>
      <c r="D199" s="18">
        <f>E196</f>
        <v>178200</v>
      </c>
      <c r="E199" s="18">
        <f>C199*D199/100</f>
        <v>126040.86</v>
      </c>
    </row>
    <row r="200" spans="1:10" ht="13.8" thickBot="1">
      <c r="A200" s="278" t="s">
        <v>52</v>
      </c>
      <c r="B200" s="279" t="s">
        <v>8</v>
      </c>
      <c r="C200" s="279">
        <f>C197*12</f>
        <v>180</v>
      </c>
      <c r="D200" s="280">
        <f>IF(C198&lt;=C197,E199,0)</f>
        <v>126040.86</v>
      </c>
      <c r="E200" s="280">
        <f>IFERROR(D200/C200,0)</f>
        <v>700.22699999999998</v>
      </c>
    </row>
    <row r="201" spans="1:10" ht="13.8" thickTop="1">
      <c r="A201" s="288" t="s">
        <v>449</v>
      </c>
      <c r="B201" s="14" t="s">
        <v>10</v>
      </c>
      <c r="C201" s="14">
        <f>C196</f>
        <v>1</v>
      </c>
      <c r="D201" s="87">
        <v>80000</v>
      </c>
      <c r="E201" s="15">
        <f>C201*D201</f>
        <v>80000</v>
      </c>
      <c r="G201" s="9"/>
    </row>
    <row r="202" spans="1:10">
      <c r="A202" s="313" t="s">
        <v>101</v>
      </c>
      <c r="B202" s="17" t="s">
        <v>102</v>
      </c>
      <c r="C202" s="86">
        <v>15</v>
      </c>
      <c r="D202" s="18"/>
      <c r="E202" s="18"/>
    </row>
    <row r="203" spans="1:10">
      <c r="A203" s="313" t="s">
        <v>326</v>
      </c>
      <c r="B203" s="17" t="s">
        <v>102</v>
      </c>
      <c r="C203" s="86">
        <v>0</v>
      </c>
      <c r="D203" s="18"/>
      <c r="E203" s="18"/>
      <c r="F203" s="20"/>
      <c r="I203" s="85"/>
      <c r="J203" s="85"/>
    </row>
    <row r="204" spans="1:10">
      <c r="A204" s="313" t="s">
        <v>103</v>
      </c>
      <c r="B204" s="17" t="s">
        <v>2</v>
      </c>
      <c r="C204" s="141">
        <f>IFERROR(VLOOKUP(C202,'10. Depr'!A3:B17,2,FALSE),0)</f>
        <v>70.73</v>
      </c>
      <c r="D204" s="18">
        <f>E201</f>
        <v>80000</v>
      </c>
      <c r="E204" s="18">
        <f>C204*D204/100</f>
        <v>56584</v>
      </c>
    </row>
    <row r="205" spans="1:10">
      <c r="A205" s="103" t="s">
        <v>327</v>
      </c>
      <c r="B205" s="104" t="s">
        <v>8</v>
      </c>
      <c r="C205" s="104">
        <f>C202*12</f>
        <v>180</v>
      </c>
      <c r="D205" s="105">
        <f>IF(C203&lt;=C202,E204,0)</f>
        <v>56584</v>
      </c>
      <c r="E205" s="105">
        <f>IFERROR(D205/C205,0)</f>
        <v>314.35555555555555</v>
      </c>
    </row>
    <row r="206" spans="1:10">
      <c r="A206" s="103" t="s">
        <v>373</v>
      </c>
      <c r="B206" s="104" t="s">
        <v>8</v>
      </c>
      <c r="C206" s="104">
        <v>1</v>
      </c>
      <c r="D206" s="105">
        <f>IF(C204&lt;=C203,E205,0)</f>
        <v>0</v>
      </c>
      <c r="E206" s="105">
        <f>(E200+E205)*0.1</f>
        <v>101.45825555555555</v>
      </c>
    </row>
    <row r="207" spans="1:10">
      <c r="A207" s="116" t="s">
        <v>250</v>
      </c>
      <c r="B207" s="117"/>
      <c r="C207" s="117"/>
      <c r="D207" s="118"/>
      <c r="E207" s="119">
        <f>E200+E205+E206</f>
        <v>1116.040811111111</v>
      </c>
    </row>
    <row r="208" spans="1:10" ht="13.8" thickBot="1">
      <c r="A208" s="103" t="s">
        <v>251</v>
      </c>
      <c r="B208" s="104" t="s">
        <v>10</v>
      </c>
      <c r="C208" s="86">
        <v>1</v>
      </c>
      <c r="D208" s="105">
        <f>E207</f>
        <v>1116.040811111111</v>
      </c>
      <c r="E208" s="119">
        <f>C208*D208</f>
        <v>1116.040811111111</v>
      </c>
    </row>
    <row r="209" spans="1:10" ht="13.8" thickBot="1">
      <c r="A209" s="274"/>
      <c r="B209" s="274"/>
      <c r="C209" s="274"/>
      <c r="D209" s="122" t="s">
        <v>186</v>
      </c>
      <c r="E209" s="296">
        <f>E69</f>
        <v>0.41475000000000006</v>
      </c>
      <c r="F209" s="21">
        <f>E208*E209</f>
        <v>462.87792640833334</v>
      </c>
    </row>
    <row r="210" spans="1:10" ht="11.25" customHeight="1"/>
    <row r="211" spans="1:10" ht="13.8" thickBot="1">
      <c r="A211" s="107" t="s">
        <v>108</v>
      </c>
    </row>
    <row r="212" spans="1:10" ht="13.8" thickBot="1">
      <c r="A212" s="109" t="s">
        <v>64</v>
      </c>
      <c r="B212" s="110" t="s">
        <v>65</v>
      </c>
      <c r="C212" s="110" t="s">
        <v>42</v>
      </c>
      <c r="D212" s="62" t="s">
        <v>225</v>
      </c>
      <c r="E212" s="111" t="s">
        <v>66</v>
      </c>
      <c r="F212" s="63" t="s">
        <v>67</v>
      </c>
      <c r="I212" s="85"/>
      <c r="J212" s="85"/>
    </row>
    <row r="213" spans="1:10">
      <c r="A213" s="16" t="s">
        <v>107</v>
      </c>
      <c r="B213" s="17" t="s">
        <v>10</v>
      </c>
      <c r="C213" s="275">
        <v>1</v>
      </c>
      <c r="D213" s="18">
        <f>D196</f>
        <v>178200</v>
      </c>
      <c r="E213" s="18">
        <f>C213*D213</f>
        <v>178200</v>
      </c>
      <c r="F213" s="20"/>
      <c r="I213" s="85"/>
      <c r="J213" s="85"/>
    </row>
    <row r="214" spans="1:10">
      <c r="A214" s="16" t="s">
        <v>206</v>
      </c>
      <c r="B214" s="17" t="s">
        <v>2</v>
      </c>
      <c r="C214" s="86">
        <v>4.25</v>
      </c>
      <c r="D214" s="18"/>
      <c r="E214" s="18"/>
      <c r="F214" s="20"/>
      <c r="I214" s="85"/>
      <c r="J214" s="85"/>
    </row>
    <row r="215" spans="1:10">
      <c r="A215" s="16" t="s">
        <v>204</v>
      </c>
      <c r="B215" s="17" t="s">
        <v>35</v>
      </c>
      <c r="C215" s="148">
        <f>IFERROR(IF(C198&lt;=C197,E196-(C199/(100*C197)*C198)*E196,E196-E199),0)</f>
        <v>178200</v>
      </c>
      <c r="D215" s="18"/>
      <c r="E215" s="18"/>
      <c r="F215" s="20"/>
      <c r="I215" s="85"/>
      <c r="J215" s="85"/>
    </row>
    <row r="216" spans="1:10">
      <c r="A216" s="16" t="s">
        <v>110</v>
      </c>
      <c r="B216" s="17" t="s">
        <v>35</v>
      </c>
      <c r="C216" s="83">
        <f>IFERROR(IF(C198&gt;=C197,C215,((((C215)-(E196-E199))*(((C197-C198)+1)/(2*(C197-C198))))+(E196-E199))),0)</f>
        <v>119380.932</v>
      </c>
      <c r="D216" s="18"/>
      <c r="E216" s="18"/>
      <c r="F216" s="20"/>
      <c r="I216" s="85"/>
      <c r="J216" s="85"/>
    </row>
    <row r="217" spans="1:10" ht="13.8" thickBot="1">
      <c r="A217" s="278" t="s">
        <v>111</v>
      </c>
      <c r="B217" s="279" t="s">
        <v>35</v>
      </c>
      <c r="C217" s="279"/>
      <c r="D217" s="281">
        <f>C214*C216/12/100</f>
        <v>422.80746749999997</v>
      </c>
      <c r="E217" s="280">
        <f>D217</f>
        <v>422.80746749999997</v>
      </c>
      <c r="F217" s="20"/>
      <c r="I217" s="85"/>
      <c r="J217" s="85"/>
    </row>
    <row r="218" spans="1:10" ht="13.8" thickTop="1">
      <c r="A218" s="288" t="s">
        <v>325</v>
      </c>
      <c r="B218" s="14" t="s">
        <v>10</v>
      </c>
      <c r="C218" s="14">
        <f>C201</f>
        <v>1</v>
      </c>
      <c r="D218" s="15">
        <f>D201</f>
        <v>80000</v>
      </c>
      <c r="E218" s="15">
        <f>C218*D218</f>
        <v>80000</v>
      </c>
      <c r="F218" s="20"/>
      <c r="I218" s="85"/>
      <c r="J218" s="85"/>
    </row>
    <row r="219" spans="1:10">
      <c r="A219" s="313" t="s">
        <v>206</v>
      </c>
      <c r="B219" s="17" t="s">
        <v>2</v>
      </c>
      <c r="C219" s="276">
        <f>C214</f>
        <v>4.25</v>
      </c>
      <c r="D219" s="18"/>
      <c r="E219" s="18"/>
      <c r="F219" s="20"/>
      <c r="I219" s="85"/>
      <c r="J219" s="85"/>
    </row>
    <row r="220" spans="1:10">
      <c r="A220" s="16" t="s">
        <v>205</v>
      </c>
      <c r="B220" s="17" t="s">
        <v>35</v>
      </c>
      <c r="C220" s="148">
        <f>IFERROR(IF(C203&lt;=C202,E201-(C204/(100*C202)*C203)*E201,E201-E204),0)</f>
        <v>80000</v>
      </c>
      <c r="D220" s="18"/>
      <c r="E220" s="18"/>
      <c r="F220" s="20"/>
      <c r="I220" s="85"/>
      <c r="J220" s="85"/>
    </row>
    <row r="221" spans="1:10">
      <c r="A221" s="313" t="s">
        <v>366</v>
      </c>
      <c r="B221" s="17" t="s">
        <v>35</v>
      </c>
      <c r="C221" s="83">
        <f>IFERROR(IF(C203&gt;=C202,C220,((((C220)-(E201-E204))*(((C202-C203)+1)/(2*(C202-C203))))+(E201-E204))),0)</f>
        <v>53594.133333333331</v>
      </c>
      <c r="D221" s="18"/>
      <c r="E221" s="18"/>
      <c r="F221" s="20"/>
      <c r="I221" s="85"/>
      <c r="J221" s="85"/>
    </row>
    <row r="222" spans="1:10">
      <c r="A222" s="103" t="s">
        <v>367</v>
      </c>
      <c r="B222" s="104" t="s">
        <v>35</v>
      </c>
      <c r="C222" s="104"/>
      <c r="D222" s="113">
        <f>C219*C221/12/100</f>
        <v>189.81255555555555</v>
      </c>
      <c r="E222" s="105">
        <f>D222</f>
        <v>189.81255555555555</v>
      </c>
      <c r="F222" s="20"/>
      <c r="I222" s="85"/>
      <c r="J222" s="85"/>
    </row>
    <row r="223" spans="1:10">
      <c r="A223" s="103" t="s">
        <v>373</v>
      </c>
      <c r="B223" s="104" t="s">
        <v>8</v>
      </c>
      <c r="C223" s="104">
        <v>1</v>
      </c>
      <c r="D223" s="105"/>
      <c r="E223" s="105">
        <f>(E217+E222)*0.1</f>
        <v>61.262002305555555</v>
      </c>
      <c r="F223" s="20"/>
      <c r="I223" s="85"/>
      <c r="J223" s="85"/>
    </row>
    <row r="224" spans="1:10">
      <c r="A224" s="116" t="s">
        <v>250</v>
      </c>
      <c r="B224" s="117"/>
      <c r="C224" s="117"/>
      <c r="D224" s="118"/>
      <c r="E224" s="119">
        <f>E217+E222+E223</f>
        <v>673.88202536111112</v>
      </c>
      <c r="F224" s="20"/>
      <c r="G224" s="355"/>
      <c r="I224" s="85"/>
      <c r="J224" s="85"/>
    </row>
    <row r="225" spans="1:10" ht="13.8" thickBot="1">
      <c r="A225" s="103" t="s">
        <v>251</v>
      </c>
      <c r="B225" s="104" t="s">
        <v>10</v>
      </c>
      <c r="C225" s="276">
        <f>C208</f>
        <v>1</v>
      </c>
      <c r="D225" s="105">
        <f>E224</f>
        <v>673.88202536111112</v>
      </c>
      <c r="E225" s="119">
        <f>C225*D225</f>
        <v>673.88202536111112</v>
      </c>
      <c r="F225" s="20"/>
      <c r="I225" s="85"/>
      <c r="J225" s="85"/>
    </row>
    <row r="226" spans="1:10" ht="13.8" thickBot="1">
      <c r="C226" s="19"/>
      <c r="D226" s="122" t="s">
        <v>186</v>
      </c>
      <c r="E226" s="296">
        <f>E209</f>
        <v>0.41475000000000006</v>
      </c>
      <c r="F226" s="21">
        <f>E225*E226</f>
        <v>279.49257001852089</v>
      </c>
      <c r="I226" s="85"/>
      <c r="J226" s="85"/>
    </row>
    <row r="227" spans="1:10" ht="11.25" customHeight="1">
      <c r="I227" s="85"/>
      <c r="J227" s="85"/>
    </row>
    <row r="228" spans="1:10" ht="13.8" thickBot="1">
      <c r="A228" s="9" t="s">
        <v>53</v>
      </c>
      <c r="I228" s="85"/>
      <c r="J228" s="85"/>
    </row>
    <row r="229" spans="1:10" ht="13.8" thickBot="1">
      <c r="A229" s="60" t="s">
        <v>64</v>
      </c>
      <c r="B229" s="61" t="s">
        <v>65</v>
      </c>
      <c r="C229" s="61" t="s">
        <v>42</v>
      </c>
      <c r="D229" s="62" t="s">
        <v>225</v>
      </c>
      <c r="E229" s="62" t="s">
        <v>66</v>
      </c>
      <c r="F229" s="63" t="s">
        <v>67</v>
      </c>
      <c r="I229" s="85"/>
      <c r="J229" s="85"/>
    </row>
    <row r="230" spans="1:10">
      <c r="A230" s="13" t="s">
        <v>12</v>
      </c>
      <c r="B230" s="14" t="s">
        <v>10</v>
      </c>
      <c r="C230" s="15">
        <f>C208</f>
        <v>1</v>
      </c>
      <c r="D230" s="15">
        <f>0.01*($C$215)</f>
        <v>1782</v>
      </c>
      <c r="E230" s="15">
        <f>C230*D230</f>
        <v>1782</v>
      </c>
      <c r="I230" s="85"/>
      <c r="J230" s="85"/>
    </row>
    <row r="231" spans="1:10">
      <c r="A231" s="16" t="s">
        <v>185</v>
      </c>
      <c r="B231" s="17" t="s">
        <v>10</v>
      </c>
      <c r="C231" s="15">
        <f>C208</f>
        <v>1</v>
      </c>
      <c r="D231" s="89">
        <v>96.77</v>
      </c>
      <c r="E231" s="18">
        <f>C231*D231</f>
        <v>96.77</v>
      </c>
      <c r="I231" s="85"/>
      <c r="J231" s="85"/>
    </row>
    <row r="232" spans="1:10">
      <c r="A232" s="16" t="s">
        <v>13</v>
      </c>
      <c r="B232" s="17" t="s">
        <v>10</v>
      </c>
      <c r="C232" s="15">
        <f>C208</f>
        <v>1</v>
      </c>
      <c r="D232" s="89">
        <f>2510*1.08</f>
        <v>2710.8</v>
      </c>
      <c r="E232" s="18">
        <f>C232*D232</f>
        <v>2710.8</v>
      </c>
      <c r="F232" s="31"/>
      <c r="I232" s="85"/>
      <c r="J232" s="85"/>
    </row>
    <row r="233" spans="1:10" ht="13.8" thickBot="1">
      <c r="A233" s="103" t="s">
        <v>14</v>
      </c>
      <c r="B233" s="104" t="s">
        <v>8</v>
      </c>
      <c r="C233" s="104">
        <v>12</v>
      </c>
      <c r="D233" s="105">
        <f>SUM(E230:E232)</f>
        <v>4589.57</v>
      </c>
      <c r="E233" s="105">
        <f>D233/C233</f>
        <v>382.46416666666664</v>
      </c>
      <c r="I233" s="85"/>
      <c r="J233" s="85"/>
    </row>
    <row r="234" spans="1:10" ht="13.8" thickBot="1">
      <c r="D234" s="122" t="s">
        <v>186</v>
      </c>
      <c r="E234" s="296">
        <f>E226</f>
        <v>0.41475000000000006</v>
      </c>
      <c r="F234" s="123">
        <f>E233*E234</f>
        <v>158.62701312500002</v>
      </c>
      <c r="I234" s="85"/>
      <c r="J234" s="85"/>
    </row>
    <row r="235" spans="1:10" ht="11.25" customHeight="1">
      <c r="I235" s="85"/>
      <c r="J235" s="85"/>
    </row>
    <row r="236" spans="1:10">
      <c r="A236" s="9" t="s">
        <v>54</v>
      </c>
      <c r="B236" s="32"/>
      <c r="I236" s="85"/>
      <c r="J236" s="85"/>
    </row>
    <row r="237" spans="1:10">
      <c r="B237" s="32"/>
      <c r="I237" s="85"/>
      <c r="J237" s="85"/>
    </row>
    <row r="238" spans="1:10">
      <c r="A238" s="103" t="s">
        <v>113</v>
      </c>
      <c r="B238" s="321">
        <f>'9. Roteiros'!R41</f>
        <v>916.53438457142875</v>
      </c>
      <c r="I238" s="85"/>
      <c r="J238" s="85"/>
    </row>
    <row r="239" spans="1:10" ht="13.8" thickBot="1">
      <c r="B239" s="32"/>
      <c r="I239" s="85"/>
      <c r="J239" s="85"/>
    </row>
    <row r="240" spans="1:10" ht="13.8" thickBot="1">
      <c r="A240" s="60" t="s">
        <v>64</v>
      </c>
      <c r="B240" s="61" t="s">
        <v>65</v>
      </c>
      <c r="C240" s="61" t="s">
        <v>249</v>
      </c>
      <c r="D240" s="62" t="s">
        <v>225</v>
      </c>
      <c r="E240" s="62" t="s">
        <v>66</v>
      </c>
      <c r="F240" s="63" t="s">
        <v>67</v>
      </c>
      <c r="I240" s="85"/>
      <c r="J240" s="85"/>
    </row>
    <row r="241" spans="1:10">
      <c r="A241" s="13" t="s">
        <v>15</v>
      </c>
      <c r="B241" s="14" t="s">
        <v>16</v>
      </c>
      <c r="C241" s="97">
        <v>2.2999999999999998</v>
      </c>
      <c r="D241" s="98">
        <v>4.5190000000000001</v>
      </c>
      <c r="E241" s="15"/>
      <c r="I241" s="85"/>
      <c r="J241" s="85"/>
    </row>
    <row r="242" spans="1:10">
      <c r="A242" s="16" t="s">
        <v>17</v>
      </c>
      <c r="B242" s="17" t="s">
        <v>18</v>
      </c>
      <c r="C242" s="94">
        <f>B238</f>
        <v>916.53438457142875</v>
      </c>
      <c r="D242" s="273">
        <f>IFERROR(+D241/C241,"-")</f>
        <v>1.9647826086956524</v>
      </c>
      <c r="E242" s="18">
        <f>IFERROR(C242*D242,"-")</f>
        <v>1800.7908190775161</v>
      </c>
      <c r="I242" s="85"/>
      <c r="J242" s="85"/>
    </row>
    <row r="243" spans="1:10">
      <c r="A243" s="16" t="s">
        <v>226</v>
      </c>
      <c r="B243" s="17" t="s">
        <v>19</v>
      </c>
      <c r="C243" s="100">
        <v>1.33</v>
      </c>
      <c r="D243" s="89">
        <v>15</v>
      </c>
      <c r="E243" s="18"/>
      <c r="G243" s="112"/>
      <c r="H243" s="52"/>
      <c r="I243" s="85"/>
      <c r="J243" s="85"/>
    </row>
    <row r="244" spans="1:10">
      <c r="A244" s="16" t="s">
        <v>20</v>
      </c>
      <c r="B244" s="17" t="s">
        <v>18</v>
      </c>
      <c r="C244" s="94">
        <f>C242</f>
        <v>916.53438457142875</v>
      </c>
      <c r="D244" s="270">
        <f>+C243*D243/1000</f>
        <v>1.9950000000000002E-2</v>
      </c>
      <c r="E244" s="18">
        <f>C244*D244</f>
        <v>18.284860972200004</v>
      </c>
      <c r="G244" s="112"/>
      <c r="H244" s="52"/>
      <c r="I244" s="85"/>
      <c r="J244" s="85"/>
    </row>
    <row r="245" spans="1:10">
      <c r="A245" s="16" t="s">
        <v>227</v>
      </c>
      <c r="B245" s="17" t="s">
        <v>19</v>
      </c>
      <c r="C245" s="100">
        <v>0.18</v>
      </c>
      <c r="D245" s="89">
        <v>24</v>
      </c>
      <c r="E245" s="18"/>
      <c r="G245" s="112"/>
      <c r="H245" s="52"/>
      <c r="I245" s="85"/>
      <c r="J245" s="85"/>
    </row>
    <row r="246" spans="1:10">
      <c r="A246" s="16" t="s">
        <v>21</v>
      </c>
      <c r="B246" s="17" t="s">
        <v>18</v>
      </c>
      <c r="C246" s="94">
        <f>C242</f>
        <v>916.53438457142875</v>
      </c>
      <c r="D246" s="270">
        <f>+C245*D245/1000</f>
        <v>4.3200000000000001E-3</v>
      </c>
      <c r="E246" s="18">
        <f>C246*D246</f>
        <v>3.9594285413485721</v>
      </c>
      <c r="G246" s="112"/>
      <c r="H246" s="52"/>
      <c r="I246" s="85"/>
      <c r="J246" s="85"/>
    </row>
    <row r="247" spans="1:10">
      <c r="A247" s="16" t="s">
        <v>228</v>
      </c>
      <c r="B247" s="17" t="s">
        <v>19</v>
      </c>
      <c r="C247" s="100">
        <v>4</v>
      </c>
      <c r="D247" s="89">
        <v>19</v>
      </c>
      <c r="E247" s="18"/>
      <c r="G247" s="112"/>
      <c r="H247" s="52"/>
      <c r="I247" s="85"/>
      <c r="J247" s="85"/>
    </row>
    <row r="248" spans="1:10">
      <c r="A248" s="16" t="s">
        <v>22</v>
      </c>
      <c r="B248" s="17" t="s">
        <v>18</v>
      </c>
      <c r="C248" s="94">
        <f>C242</f>
        <v>916.53438457142875</v>
      </c>
      <c r="D248" s="270">
        <f>+C247*D247/1000</f>
        <v>7.5999999999999998E-2</v>
      </c>
      <c r="E248" s="18">
        <f>C248*D248</f>
        <v>69.656613227428579</v>
      </c>
      <c r="G248" s="112"/>
      <c r="H248" s="52"/>
      <c r="I248" s="85"/>
      <c r="J248" s="85"/>
    </row>
    <row r="249" spans="1:10">
      <c r="A249" s="313" t="s">
        <v>365</v>
      </c>
      <c r="B249" s="356" t="s">
        <v>19</v>
      </c>
      <c r="C249" s="367">
        <v>20</v>
      </c>
      <c r="D249" s="326">
        <v>1.9</v>
      </c>
      <c r="E249" s="323"/>
      <c r="G249" s="112"/>
      <c r="H249" s="52"/>
      <c r="I249" s="85"/>
      <c r="J249" s="85"/>
    </row>
    <row r="250" spans="1:10">
      <c r="A250" s="313" t="s">
        <v>364</v>
      </c>
      <c r="B250" s="356" t="s">
        <v>18</v>
      </c>
      <c r="C250" s="325">
        <f>C244</f>
        <v>916.53438457142875</v>
      </c>
      <c r="D250" s="327">
        <f>+C249*D249/1000</f>
        <v>3.7999999999999999E-2</v>
      </c>
      <c r="E250" s="323">
        <f>C250*D250</f>
        <v>34.82830661371429</v>
      </c>
      <c r="G250" s="112"/>
      <c r="H250" s="52"/>
      <c r="I250" s="85"/>
      <c r="J250" s="85"/>
    </row>
    <row r="251" spans="1:10">
      <c r="A251" s="16" t="s">
        <v>23</v>
      </c>
      <c r="B251" s="17" t="s">
        <v>24</v>
      </c>
      <c r="C251" s="100">
        <v>2</v>
      </c>
      <c r="D251" s="89">
        <v>17</v>
      </c>
      <c r="E251" s="18"/>
      <c r="G251" s="112"/>
      <c r="H251" s="52"/>
      <c r="I251" s="85"/>
      <c r="J251" s="85"/>
    </row>
    <row r="252" spans="1:10">
      <c r="A252" s="16" t="s">
        <v>25</v>
      </c>
      <c r="B252" s="17" t="s">
        <v>18</v>
      </c>
      <c r="C252" s="94">
        <f>C242</f>
        <v>916.53438457142875</v>
      </c>
      <c r="D252" s="270">
        <f>+C251*D251/1000</f>
        <v>3.4000000000000002E-2</v>
      </c>
      <c r="E252" s="18">
        <f>C252*D252</f>
        <v>31.162169075428579</v>
      </c>
      <c r="G252" s="112"/>
      <c r="H252" s="52"/>
      <c r="I252" s="85"/>
      <c r="J252" s="85"/>
    </row>
    <row r="253" spans="1:10" ht="13.8" thickBot="1">
      <c r="A253" s="103" t="s">
        <v>248</v>
      </c>
      <c r="B253" s="104" t="s">
        <v>114</v>
      </c>
      <c r="C253" s="271"/>
      <c r="D253" s="272">
        <f>IFERROR(D242+D244+D246+D248+D252,0)</f>
        <v>2.099052608695652</v>
      </c>
      <c r="E253" s="18"/>
      <c r="G253" s="112"/>
      <c r="H253" s="52"/>
      <c r="I253" s="85"/>
      <c r="J253" s="85"/>
    </row>
    <row r="254" spans="1:10" ht="13.8" thickBot="1">
      <c r="F254" s="21">
        <f>SUM(E241:E252)</f>
        <v>1958.6821975076364</v>
      </c>
      <c r="I254" s="85"/>
      <c r="J254" s="85"/>
    </row>
    <row r="255" spans="1:10" ht="11.25" customHeight="1">
      <c r="I255" s="85"/>
      <c r="J255" s="85"/>
    </row>
    <row r="256" spans="1:10" ht="13.8" thickBot="1">
      <c r="A256" s="9" t="s">
        <v>55</v>
      </c>
      <c r="I256" s="85"/>
      <c r="J256" s="85"/>
    </row>
    <row r="257" spans="1:10" ht="13.8" thickBot="1">
      <c r="A257" s="60" t="s">
        <v>64</v>
      </c>
      <c r="B257" s="61" t="s">
        <v>65</v>
      </c>
      <c r="C257" s="61" t="s">
        <v>42</v>
      </c>
      <c r="D257" s="62" t="s">
        <v>225</v>
      </c>
      <c r="E257" s="62" t="s">
        <v>66</v>
      </c>
      <c r="F257" s="63" t="s">
        <v>67</v>
      </c>
      <c r="I257" s="85"/>
      <c r="J257" s="85"/>
    </row>
    <row r="258" spans="1:10" ht="13.8" thickBot="1">
      <c r="A258" s="13" t="s">
        <v>112</v>
      </c>
      <c r="B258" s="14" t="s">
        <v>114</v>
      </c>
      <c r="C258" s="381">
        <f>C242</f>
        <v>916.53438457142875</v>
      </c>
      <c r="D258" s="87">
        <v>0.82</v>
      </c>
      <c r="E258" s="15">
        <f>C258*D258</f>
        <v>751.55819534857153</v>
      </c>
      <c r="I258" s="85"/>
      <c r="J258" s="85"/>
    </row>
    <row r="259" spans="1:10" ht="13.8" thickBot="1">
      <c r="F259" s="21">
        <f>E258</f>
        <v>751.55819534857153</v>
      </c>
      <c r="I259" s="85"/>
      <c r="J259" s="85"/>
    </row>
    <row r="260" spans="1:10" ht="11.25" customHeight="1">
      <c r="I260" s="85"/>
      <c r="J260" s="85"/>
    </row>
    <row r="261" spans="1:10" ht="13.8" thickBot="1">
      <c r="A261" s="9" t="s">
        <v>62</v>
      </c>
      <c r="I261" s="85"/>
      <c r="J261" s="85"/>
    </row>
    <row r="262" spans="1:10" ht="13.8" thickBot="1">
      <c r="A262" s="60" t="s">
        <v>64</v>
      </c>
      <c r="B262" s="61" t="s">
        <v>65</v>
      </c>
      <c r="C262" s="61" t="s">
        <v>42</v>
      </c>
      <c r="D262" s="62" t="s">
        <v>225</v>
      </c>
      <c r="E262" s="62" t="s">
        <v>66</v>
      </c>
      <c r="F262" s="63" t="s">
        <v>67</v>
      </c>
      <c r="I262" s="85"/>
      <c r="J262" s="85"/>
    </row>
    <row r="263" spans="1:10">
      <c r="A263" s="288" t="s">
        <v>363</v>
      </c>
      <c r="B263" s="14" t="s">
        <v>10</v>
      </c>
      <c r="C263" s="96">
        <v>6</v>
      </c>
      <c r="D263" s="87">
        <v>2150</v>
      </c>
      <c r="E263" s="15">
        <f>C263*D263</f>
        <v>12900</v>
      </c>
      <c r="I263" s="85"/>
      <c r="J263" s="85"/>
    </row>
    <row r="264" spans="1:10">
      <c r="A264" s="13" t="s">
        <v>115</v>
      </c>
      <c r="B264" s="14" t="s">
        <v>10</v>
      </c>
      <c r="C264" s="96">
        <v>2</v>
      </c>
      <c r="D264" s="106"/>
      <c r="E264" s="15"/>
      <c r="I264" s="85"/>
      <c r="J264" s="85"/>
    </row>
    <row r="265" spans="1:10">
      <c r="A265" s="13" t="s">
        <v>72</v>
      </c>
      <c r="B265" s="14" t="s">
        <v>10</v>
      </c>
      <c r="C265" s="15">
        <f>C263*C264</f>
        <v>12</v>
      </c>
      <c r="D265" s="87">
        <v>560</v>
      </c>
      <c r="E265" s="15">
        <f>C265*D265</f>
        <v>6720</v>
      </c>
      <c r="I265" s="85"/>
      <c r="J265" s="85"/>
    </row>
    <row r="266" spans="1:10">
      <c r="A266" s="16" t="s">
        <v>95</v>
      </c>
      <c r="B266" s="17" t="s">
        <v>26</v>
      </c>
      <c r="C266" s="99">
        <v>70000</v>
      </c>
      <c r="D266" s="18">
        <f>E263+E265</f>
        <v>19620</v>
      </c>
      <c r="E266" s="18">
        <f>IFERROR(D266/C266,"-")</f>
        <v>0.2802857142857143</v>
      </c>
      <c r="I266" s="85"/>
      <c r="J266" s="85"/>
    </row>
    <row r="267" spans="1:10" ht="13.8" thickBot="1">
      <c r="A267" s="16" t="s">
        <v>57</v>
      </c>
      <c r="B267" s="17" t="s">
        <v>18</v>
      </c>
      <c r="C267" s="18">
        <f>B238</f>
        <v>916.53438457142875</v>
      </c>
      <c r="D267" s="18">
        <f>E266</f>
        <v>0.2802857142857143</v>
      </c>
      <c r="E267" s="18">
        <f>IFERROR(C267*D267,0)</f>
        <v>256.89149464702047</v>
      </c>
      <c r="I267" s="85"/>
      <c r="J267" s="85"/>
    </row>
    <row r="268" spans="1:10" ht="13.8" thickBot="1">
      <c r="F268" s="21">
        <f>E267</f>
        <v>256.89149464702047</v>
      </c>
      <c r="I268" s="85"/>
      <c r="J268" s="85"/>
    </row>
    <row r="269" spans="1:10" ht="11.25" customHeight="1">
      <c r="I269" s="85"/>
      <c r="J269" s="85"/>
    </row>
    <row r="270" spans="1:10" ht="11.25" customHeight="1" thickBot="1">
      <c r="G270" s="9"/>
    </row>
    <row r="271" spans="1:10" ht="13.8" thickBot="1">
      <c r="A271" s="24" t="s">
        <v>218</v>
      </c>
      <c r="B271" s="25"/>
      <c r="C271" s="25"/>
      <c r="D271" s="26"/>
      <c r="E271" s="27"/>
      <c r="F271" s="21">
        <f>+SUM(F196:F270)</f>
        <v>3868.1293970550828</v>
      </c>
      <c r="G271" s="9"/>
    </row>
    <row r="272" spans="1:10" ht="11.25" customHeight="1">
      <c r="G272" s="9"/>
    </row>
    <row r="273" spans="1:7">
      <c r="A273" s="34" t="s">
        <v>399</v>
      </c>
      <c r="B273" s="34"/>
      <c r="C273" s="34"/>
      <c r="D273" s="35"/>
      <c r="E273" s="35"/>
      <c r="F273" s="33"/>
      <c r="G273" s="9"/>
    </row>
    <row r="274" spans="1:7" ht="11.25" customHeight="1" thickBot="1">
      <c r="G274" s="9"/>
    </row>
    <row r="275" spans="1:7" ht="13.8" thickBot="1">
      <c r="A275" s="60" t="s">
        <v>64</v>
      </c>
      <c r="B275" s="61" t="s">
        <v>65</v>
      </c>
      <c r="C275" s="61" t="s">
        <v>510</v>
      </c>
      <c r="D275" s="62" t="s">
        <v>225</v>
      </c>
      <c r="E275" s="62" t="s">
        <v>66</v>
      </c>
      <c r="F275" s="63" t="s">
        <v>67</v>
      </c>
      <c r="G275" s="9"/>
    </row>
    <row r="276" spans="1:7">
      <c r="A276" s="16" t="s">
        <v>73</v>
      </c>
      <c r="B276" s="17" t="s">
        <v>10</v>
      </c>
      <c r="C276" s="101">
        <v>0.16666666666666666</v>
      </c>
      <c r="D276" s="87">
        <v>40</v>
      </c>
      <c r="E276" s="18">
        <f t="shared" ref="E276:E278" si="5">C276*D276</f>
        <v>6.6666666666666661</v>
      </c>
      <c r="F276" s="55"/>
      <c r="G276" s="9"/>
    </row>
    <row r="277" spans="1:7">
      <c r="A277" s="16" t="s">
        <v>28</v>
      </c>
      <c r="B277" s="17" t="s">
        <v>10</v>
      </c>
      <c r="C277" s="101">
        <v>0.16666666666666666</v>
      </c>
      <c r="D277" s="87">
        <v>28</v>
      </c>
      <c r="E277" s="18">
        <f t="shared" si="5"/>
        <v>4.6666666666666661</v>
      </c>
      <c r="F277" s="55"/>
      <c r="G277" s="9"/>
    </row>
    <row r="278" spans="1:7" ht="13.8" thickBot="1">
      <c r="A278" s="16" t="s">
        <v>29</v>
      </c>
      <c r="B278" s="17" t="s">
        <v>10</v>
      </c>
      <c r="C278" s="101">
        <v>0.16666666666666666</v>
      </c>
      <c r="D278" s="87">
        <v>28</v>
      </c>
      <c r="E278" s="18">
        <f t="shared" si="5"/>
        <v>4.6666666666666661</v>
      </c>
      <c r="F278" s="55"/>
      <c r="G278" s="9"/>
    </row>
    <row r="279" spans="1:7" ht="13.8" thickBot="1">
      <c r="A279" s="34"/>
      <c r="B279" s="34"/>
      <c r="C279" s="34"/>
      <c r="D279" s="34"/>
      <c r="E279" s="35"/>
      <c r="F279" s="21">
        <f>SUM(E276:E278)</f>
        <v>15.999999999999998</v>
      </c>
      <c r="G279" s="9"/>
    </row>
    <row r="280" spans="1:7" ht="11.25" customHeight="1" thickBot="1">
      <c r="G280" s="9"/>
    </row>
    <row r="281" spans="1:7" ht="13.8" thickBot="1">
      <c r="A281" s="24" t="s">
        <v>219</v>
      </c>
      <c r="B281" s="25"/>
      <c r="C281" s="25"/>
      <c r="D281" s="26"/>
      <c r="E281" s="27"/>
      <c r="F281" s="21">
        <f>+F279</f>
        <v>15.999999999999998</v>
      </c>
      <c r="G281" s="9"/>
    </row>
    <row r="282" spans="1:7" ht="11.25" customHeight="1">
      <c r="G282" s="9"/>
    </row>
    <row r="283" spans="1:7" ht="13.2" customHeight="1">
      <c r="A283" s="34" t="s">
        <v>393</v>
      </c>
      <c r="B283" s="34"/>
      <c r="C283" s="34"/>
      <c r="D283" s="35"/>
      <c r="E283" s="35"/>
      <c r="F283" s="33"/>
      <c r="G283" s="9"/>
    </row>
    <row r="284" spans="1:7" ht="11.25" customHeight="1" thickBot="1">
      <c r="G284" s="9"/>
    </row>
    <row r="285" spans="1:7" ht="13.95" customHeight="1" thickBot="1">
      <c r="A285" s="60" t="s">
        <v>64</v>
      </c>
      <c r="B285" s="61" t="s">
        <v>65</v>
      </c>
      <c r="C285" s="61" t="s">
        <v>42</v>
      </c>
      <c r="D285" s="62" t="s">
        <v>225</v>
      </c>
      <c r="E285" s="62" t="s">
        <v>66</v>
      </c>
      <c r="F285" s="63" t="s">
        <v>67</v>
      </c>
      <c r="G285" s="9"/>
    </row>
    <row r="286" spans="1:7" ht="13.95" customHeight="1">
      <c r="A286" s="313" t="s">
        <v>511</v>
      </c>
      <c r="B286" s="356" t="s">
        <v>10</v>
      </c>
      <c r="C286" s="366">
        <v>2</v>
      </c>
      <c r="D286" s="87">
        <v>80</v>
      </c>
      <c r="E286" s="18">
        <f t="shared" ref="E286:E288" si="6">C286*D286</f>
        <v>160</v>
      </c>
      <c r="F286" s="55"/>
      <c r="G286" s="9"/>
    </row>
    <row r="287" spans="1:7" ht="13.95" customHeight="1">
      <c r="A287" s="313" t="s">
        <v>341</v>
      </c>
      <c r="B287" s="356" t="s">
        <v>10</v>
      </c>
      <c r="C287" s="101">
        <v>8.3333333333333329E-2</v>
      </c>
      <c r="D287" s="87">
        <v>250</v>
      </c>
      <c r="E287" s="18">
        <f t="shared" si="6"/>
        <v>20.833333333333332</v>
      </c>
      <c r="F287" s="55"/>
      <c r="G287" s="9"/>
    </row>
    <row r="288" spans="1:7" ht="13.95" customHeight="1">
      <c r="A288" s="313" t="s">
        <v>343</v>
      </c>
      <c r="B288" s="356" t="s">
        <v>342</v>
      </c>
      <c r="C288" s="315">
        <v>1</v>
      </c>
      <c r="D288" s="87">
        <v>100</v>
      </c>
      <c r="E288" s="18">
        <f t="shared" si="6"/>
        <v>100</v>
      </c>
      <c r="F288" s="55"/>
      <c r="G288" s="9"/>
    </row>
    <row r="289" spans="1:7" ht="13.95" customHeight="1" thickBot="1">
      <c r="A289" s="313" t="s">
        <v>392</v>
      </c>
      <c r="B289" s="53" t="s">
        <v>319</v>
      </c>
      <c r="C289" s="154">
        <v>150</v>
      </c>
      <c r="D289" s="89">
        <v>2.2000000000000002</v>
      </c>
      <c r="E289" s="18">
        <f t="shared" ref="E289" si="7">+D289*C289</f>
        <v>330</v>
      </c>
      <c r="F289" s="55"/>
      <c r="G289" s="9"/>
    </row>
    <row r="290" spans="1:7" ht="13.95" customHeight="1" thickBot="1">
      <c r="A290" s="81"/>
      <c r="B290" s="81"/>
      <c r="C290" s="81"/>
      <c r="D290" s="122" t="s">
        <v>186</v>
      </c>
      <c r="E290" s="296">
        <v>1</v>
      </c>
      <c r="F290" s="82">
        <f>SUM(E286:E289)</f>
        <v>610.83333333333337</v>
      </c>
      <c r="G290" s="9"/>
    </row>
    <row r="291" spans="1:7" ht="11.25" customHeight="1">
      <c r="G291" s="9"/>
    </row>
    <row r="292" spans="1:7">
      <c r="A292" s="34" t="s">
        <v>394</v>
      </c>
      <c r="B292" s="34"/>
      <c r="C292" s="34"/>
      <c r="D292" s="35"/>
      <c r="E292" s="35"/>
      <c r="F292" s="33"/>
    </row>
    <row r="293" spans="1:7" ht="11.25" customHeight="1" thickBot="1"/>
    <row r="294" spans="1:7" ht="13.8" thickBot="1">
      <c r="A294" s="60" t="s">
        <v>64</v>
      </c>
      <c r="B294" s="61" t="s">
        <v>65</v>
      </c>
      <c r="C294" s="61" t="s">
        <v>42</v>
      </c>
      <c r="D294" s="62" t="s">
        <v>225</v>
      </c>
      <c r="E294" s="62" t="s">
        <v>66</v>
      </c>
      <c r="F294" s="63" t="s">
        <v>67</v>
      </c>
    </row>
    <row r="295" spans="1:7">
      <c r="A295" s="313" t="s">
        <v>216</v>
      </c>
      <c r="B295" s="53" t="s">
        <v>59</v>
      </c>
      <c r="C295" s="69">
        <v>1</v>
      </c>
      <c r="D295" s="89">
        <v>600</v>
      </c>
      <c r="E295" s="18">
        <f>+D295*C295</f>
        <v>600</v>
      </c>
      <c r="F295" s="55"/>
    </row>
    <row r="296" spans="1:7">
      <c r="A296" s="16" t="s">
        <v>61</v>
      </c>
      <c r="B296" s="53" t="s">
        <v>8</v>
      </c>
      <c r="C296" s="154">
        <v>60</v>
      </c>
      <c r="D296" s="80">
        <f>SUM(E295:E295)</f>
        <v>600</v>
      </c>
      <c r="E296" s="80">
        <f>+D296/C296</f>
        <v>10</v>
      </c>
      <c r="F296" s="55"/>
    </row>
    <row r="297" spans="1:7">
      <c r="A297" s="16" t="s">
        <v>217</v>
      </c>
      <c r="B297" s="17" t="s">
        <v>10</v>
      </c>
      <c r="C297" s="69">
        <f>+C295</f>
        <v>1</v>
      </c>
      <c r="D297" s="89">
        <v>110</v>
      </c>
      <c r="E297" s="18">
        <f>C297*D297</f>
        <v>110</v>
      </c>
      <c r="F297" s="55"/>
    </row>
    <row r="298" spans="1:7" ht="13.8" thickBot="1">
      <c r="A298" s="16" t="s">
        <v>39</v>
      </c>
      <c r="B298" s="53" t="s">
        <v>8</v>
      </c>
      <c r="C298" s="154">
        <v>1</v>
      </c>
      <c r="D298" s="80">
        <f>+E297</f>
        <v>110</v>
      </c>
      <c r="E298" s="80">
        <f>+D298/C298</f>
        <v>110</v>
      </c>
      <c r="F298" s="55"/>
    </row>
    <row r="299" spans="1:7" ht="13.8" thickBot="1">
      <c r="A299" s="81"/>
      <c r="B299" s="81"/>
      <c r="C299" s="81"/>
      <c r="D299" s="122" t="s">
        <v>186</v>
      </c>
      <c r="E299" s="296">
        <f>E234</f>
        <v>0.41475000000000006</v>
      </c>
      <c r="F299" s="82">
        <f>(E296+E298)*E299</f>
        <v>49.77000000000001</v>
      </c>
    </row>
    <row r="300" spans="1:7" s="51" customFormat="1" ht="11.25" customHeight="1" thickBot="1">
      <c r="A300" s="9"/>
      <c r="B300" s="9"/>
      <c r="C300" s="9"/>
      <c r="D300" s="10"/>
      <c r="E300" s="10"/>
      <c r="F300" s="10"/>
      <c r="G300" s="84"/>
    </row>
    <row r="301" spans="1:7" ht="13.8" thickBot="1">
      <c r="A301" s="24" t="s">
        <v>215</v>
      </c>
      <c r="B301" s="25"/>
      <c r="C301" s="25"/>
      <c r="D301" s="26"/>
      <c r="E301" s="27"/>
      <c r="F301" s="21">
        <f>+F299</f>
        <v>49.77000000000001</v>
      </c>
    </row>
    <row r="302" spans="1:7" ht="11.25" customHeight="1" thickBot="1"/>
    <row r="303" spans="1:7" ht="17.25" customHeight="1" thickBot="1">
      <c r="A303" s="24" t="s">
        <v>220</v>
      </c>
      <c r="B303" s="28"/>
      <c r="C303" s="28"/>
      <c r="D303" s="29"/>
      <c r="E303" s="30"/>
      <c r="F303" s="22">
        <f>+F154+F188+F271+F281+F301+F290</f>
        <v>10174.984233259809</v>
      </c>
    </row>
    <row r="304" spans="1:7" ht="11.25" customHeight="1"/>
    <row r="305" spans="1:7">
      <c r="A305" s="11" t="s">
        <v>395</v>
      </c>
    </row>
    <row r="306" spans="1:7" ht="11.25" customHeight="1" thickBot="1"/>
    <row r="307" spans="1:7" ht="13.8" thickBot="1">
      <c r="A307" s="60" t="s">
        <v>64</v>
      </c>
      <c r="B307" s="61" t="s">
        <v>65</v>
      </c>
      <c r="C307" s="61" t="s">
        <v>42</v>
      </c>
      <c r="D307" s="62" t="s">
        <v>225</v>
      </c>
      <c r="E307" s="62" t="s">
        <v>66</v>
      </c>
      <c r="F307" s="63" t="s">
        <v>67</v>
      </c>
    </row>
    <row r="308" spans="1:7" ht="13.8" thickBot="1">
      <c r="A308" s="13" t="s">
        <v>38</v>
      </c>
      <c r="B308" s="14" t="s">
        <v>2</v>
      </c>
      <c r="C308" s="140">
        <f>'6.BDI'!C21*100</f>
        <v>23.62</v>
      </c>
      <c r="D308" s="15">
        <f>+F303</f>
        <v>10174.984233259809</v>
      </c>
      <c r="E308" s="15">
        <f>C308*D308/100</f>
        <v>2403.3312758959669</v>
      </c>
    </row>
    <row r="309" spans="1:7" ht="13.8" thickBot="1">
      <c r="F309" s="21">
        <f>+E308</f>
        <v>2403.3312758959669</v>
      </c>
    </row>
    <row r="310" spans="1:7" ht="11.25" customHeight="1" thickBot="1"/>
    <row r="311" spans="1:7" ht="13.8" thickBot="1">
      <c r="A311" s="24" t="s">
        <v>230</v>
      </c>
      <c r="B311" s="28"/>
      <c r="C311" s="28"/>
      <c r="D311" s="29"/>
      <c r="E311" s="30"/>
      <c r="F311" s="22">
        <f>F309</f>
        <v>2403.3312758959669</v>
      </c>
    </row>
    <row r="312" spans="1:7">
      <c r="A312" s="34"/>
      <c r="B312" s="34"/>
      <c r="C312" s="34"/>
      <c r="D312" s="35"/>
      <c r="E312" s="35"/>
      <c r="F312" s="33"/>
    </row>
    <row r="313" spans="1:7" ht="11.25" customHeight="1" thickBot="1"/>
    <row r="314" spans="1:7" ht="24.75" customHeight="1" thickBot="1">
      <c r="A314" s="24" t="s">
        <v>221</v>
      </c>
      <c r="B314" s="28"/>
      <c r="C314" s="28"/>
      <c r="D314" s="29"/>
      <c r="E314" s="30"/>
      <c r="F314" s="22">
        <f>F303+F311</f>
        <v>12578.315509155776</v>
      </c>
    </row>
    <row r="315" spans="1:7" ht="12.6" customHeight="1">
      <c r="A315" s="56"/>
      <c r="B315" s="56"/>
      <c r="C315" s="56"/>
      <c r="D315" s="57"/>
      <c r="E315" s="57"/>
      <c r="F315" s="57"/>
    </row>
    <row r="316" spans="1:7" ht="13.8" hidden="1">
      <c r="A316" s="8"/>
      <c r="B316" s="8"/>
      <c r="C316" s="8"/>
      <c r="D316" s="36"/>
      <c r="E316" s="36"/>
    </row>
    <row r="317" spans="1:7" ht="16.2" hidden="1" customHeight="1">
      <c r="A317" s="251" t="s">
        <v>214</v>
      </c>
      <c r="B317" s="252"/>
      <c r="C317" s="252"/>
      <c r="D317" s="253"/>
      <c r="E317" s="254" t="s">
        <v>27</v>
      </c>
      <c r="G317" s="10" t="s">
        <v>195</v>
      </c>
    </row>
    <row r="318" spans="1:7" hidden="1"/>
    <row r="319" spans="1:7" ht="25.5" hidden="1" customHeight="1" thickBot="1">
      <c r="A319" s="24" t="s">
        <v>71</v>
      </c>
      <c r="B319" s="25"/>
      <c r="C319" s="25"/>
      <c r="D319" s="26"/>
      <c r="E319" s="255" t="s">
        <v>34</v>
      </c>
      <c r="F319" s="256" t="str">
        <f>IFERROR(F314/D317,"-")</f>
        <v>-</v>
      </c>
      <c r="G319" s="10" t="s">
        <v>195</v>
      </c>
    </row>
    <row r="320" spans="1:7" ht="12.6" hidden="1" customHeight="1">
      <c r="A320" s="34"/>
      <c r="B320" s="34"/>
      <c r="C320" s="34"/>
      <c r="D320" s="35"/>
      <c r="E320" s="35"/>
      <c r="F320" s="35"/>
    </row>
    <row r="321" spans="1:7" s="4" customFormat="1" ht="9.75" hidden="1" customHeight="1">
      <c r="A321" s="39"/>
      <c r="B321" s="10"/>
      <c r="C321" s="10"/>
      <c r="D321" s="10"/>
      <c r="E321" s="10"/>
      <c r="F321" s="10"/>
      <c r="G321" s="6"/>
    </row>
    <row r="322" spans="1:7" s="4" customFormat="1" ht="9.75" hidden="1" customHeight="1">
      <c r="A322" s="39"/>
      <c r="B322" s="10"/>
      <c r="C322" s="10"/>
      <c r="D322" s="10"/>
      <c r="E322" s="10"/>
      <c r="F322" s="10"/>
      <c r="G322" s="6"/>
    </row>
    <row r="323" spans="1:7" s="4" customFormat="1" ht="9.75" hidden="1" customHeight="1">
      <c r="A323" s="39"/>
      <c r="B323" s="10"/>
      <c r="C323" s="10"/>
      <c r="D323" s="10"/>
      <c r="E323" s="10"/>
      <c r="F323" s="10"/>
      <c r="G323" s="6"/>
    </row>
    <row r="324" spans="1:7">
      <c r="F324" s="44"/>
    </row>
    <row r="325" spans="1:7">
      <c r="F325" s="368"/>
    </row>
    <row r="353" spans="4:7" ht="9" customHeight="1">
      <c r="D353" s="9"/>
      <c r="E353" s="9"/>
      <c r="F353" s="9"/>
      <c r="G353" s="9"/>
    </row>
  </sheetData>
  <mergeCells count="7">
    <mergeCell ref="A50:D50"/>
    <mergeCell ref="A12:F12"/>
    <mergeCell ref="A13:F13"/>
    <mergeCell ref="A15:F15"/>
    <mergeCell ref="A26:C26"/>
    <mergeCell ref="A42:E42"/>
    <mergeCell ref="A43:D43"/>
  </mergeCells>
  <hyperlinks>
    <hyperlink ref="A211" location="AbaRemun" display="3.1.2. Remuneração do Capital"/>
    <hyperlink ref="A194" location="AbaDeprec" display="3.1.1. Depreciação"/>
  </hyperlinks>
  <pageMargins left="0.9055118110236221" right="0.51181102362204722" top="0.74803149606299213" bottom="0.74803149606299213" header="0.31496062992125984" footer="0.31496062992125984"/>
  <pageSetup paperSize="9" scale="74" fitToHeight="4" orientation="portrait" verticalDpi="300" r:id="rId1"/>
  <headerFooter alignWithMargins="0">
    <oddFooter>&amp;R&amp;P de &amp;N</oddFooter>
  </headerFooter>
  <rowBreaks count="2" manualBreakCount="2">
    <brk id="126" max="5" man="1"/>
    <brk id="21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K28"/>
  <sheetViews>
    <sheetView workbookViewId="0"/>
  </sheetViews>
  <sheetFormatPr defaultRowHeight="13.2"/>
  <cols>
    <col min="1" max="1" width="10.44140625" customWidth="1"/>
    <col min="2" max="2" width="30.5546875" customWidth="1"/>
    <col min="3" max="3" width="13.33203125" hidden="1" customWidth="1"/>
    <col min="4" max="4" width="11.88671875" hidden="1" customWidth="1"/>
    <col min="5" max="5" width="13.88671875" hidden="1" customWidth="1"/>
    <col min="6" max="6" width="13.88671875" customWidth="1"/>
    <col min="7" max="8" width="13.6640625" hidden="1" customWidth="1"/>
    <col min="9" max="9" width="9.5546875" bestFit="1" customWidth="1"/>
    <col min="10" max="12" width="11.44140625" bestFit="1" customWidth="1"/>
    <col min="13" max="13" width="10.44140625" bestFit="1" customWidth="1"/>
  </cols>
  <sheetData>
    <row r="1" spans="1:11">
      <c r="A1" s="108" t="s">
        <v>413</v>
      </c>
    </row>
    <row r="2" spans="1:11">
      <c r="A2" s="108" t="s">
        <v>522</v>
      </c>
    </row>
    <row r="3" spans="1:11">
      <c r="A3" s="329" t="s">
        <v>275</v>
      </c>
      <c r="B3" s="329" t="s">
        <v>329</v>
      </c>
      <c r="C3" s="329" t="s">
        <v>344</v>
      </c>
      <c r="D3" s="329" t="s">
        <v>330</v>
      </c>
      <c r="E3" s="329" t="s">
        <v>331</v>
      </c>
      <c r="F3" s="329" t="s">
        <v>345</v>
      </c>
      <c r="G3" s="329" t="s">
        <v>332</v>
      </c>
      <c r="H3" s="329" t="s">
        <v>346</v>
      </c>
    </row>
    <row r="4" spans="1:11">
      <c r="A4" s="330">
        <v>1</v>
      </c>
      <c r="B4" s="331" t="s">
        <v>371</v>
      </c>
      <c r="C4" s="357">
        <f>9901.41+8807.51+4497.81</f>
        <v>23206.73</v>
      </c>
      <c r="D4" s="331"/>
      <c r="E4" s="332">
        <f>C4*D4</f>
        <v>0</v>
      </c>
      <c r="F4" s="332">
        <f>'1. Coleta Dom'!F314</f>
        <v>13376.749067809114</v>
      </c>
      <c r="G4" s="332">
        <f>F4-C4</f>
        <v>-9829.9809321908851</v>
      </c>
      <c r="H4" s="358">
        <f>F4/C4-1</f>
        <v>-0.42358319901989139</v>
      </c>
    </row>
    <row r="5" spans="1:11">
      <c r="A5" s="330">
        <v>2</v>
      </c>
      <c r="B5" s="331" t="s">
        <v>372</v>
      </c>
      <c r="C5" s="357">
        <f>4649.22+2392.89</f>
        <v>7042.1100000000006</v>
      </c>
      <c r="D5" s="331"/>
      <c r="E5" s="332">
        <f t="shared" ref="E5:E6" si="0">C5*D5</f>
        <v>0</v>
      </c>
      <c r="F5" s="332">
        <f>'2. Coleta Seletiva'!F314</f>
        <v>12578.315509155776</v>
      </c>
      <c r="G5" s="332">
        <f t="shared" ref="G5" si="1">F5-C5</f>
        <v>5536.2055091557759</v>
      </c>
      <c r="H5" s="358">
        <f t="shared" ref="H5:H7" si="2">F5/C5-1</f>
        <v>0.7861572041839413</v>
      </c>
    </row>
    <row r="6" spans="1:11">
      <c r="A6" s="330"/>
      <c r="B6" s="331"/>
      <c r="C6" s="331"/>
      <c r="D6" s="331"/>
      <c r="E6" s="332">
        <f t="shared" si="0"/>
        <v>0</v>
      </c>
      <c r="F6" s="332"/>
      <c r="G6" s="332"/>
      <c r="H6" s="358"/>
    </row>
    <row r="7" spans="1:11">
      <c r="A7" s="333" t="s">
        <v>333</v>
      </c>
      <c r="B7" s="333"/>
      <c r="C7" s="334">
        <f>SUM(C4:C6)</f>
        <v>30248.84</v>
      </c>
      <c r="D7" s="333"/>
      <c r="E7" s="335">
        <f>SUM(E4:E6)</f>
        <v>0</v>
      </c>
      <c r="F7" s="335">
        <f>SUM(F4:F6)</f>
        <v>25955.064576964891</v>
      </c>
      <c r="G7" s="335">
        <f>F7-C7</f>
        <v>-4293.7754230351093</v>
      </c>
      <c r="H7" s="358">
        <f t="shared" si="2"/>
        <v>-0.14194843250303513</v>
      </c>
      <c r="J7" s="340"/>
      <c r="K7" s="341"/>
    </row>
    <row r="8" spans="1:11">
      <c r="A8" s="333" t="s">
        <v>334</v>
      </c>
      <c r="B8" s="331"/>
      <c r="C8" s="331"/>
      <c r="D8" s="331"/>
      <c r="E8" s="335"/>
      <c r="F8" s="335">
        <f>'7. Ton'!D5</f>
        <v>103.83</v>
      </c>
      <c r="G8" s="331"/>
      <c r="H8" s="331"/>
      <c r="J8" s="341"/>
    </row>
    <row r="9" spans="1:11">
      <c r="A9" s="333" t="s">
        <v>335</v>
      </c>
      <c r="B9" s="331"/>
      <c r="C9" s="331"/>
      <c r="D9" s="331"/>
      <c r="E9" s="335"/>
      <c r="F9" s="335">
        <f>F7/F8</f>
        <v>249.97654412948947</v>
      </c>
      <c r="G9" s="331"/>
      <c r="H9" s="331"/>
    </row>
    <row r="10" spans="1:11">
      <c r="A10" s="331"/>
      <c r="B10" s="331"/>
      <c r="C10" s="331"/>
      <c r="D10" s="331"/>
      <c r="E10" s="331"/>
      <c r="F10" s="331"/>
      <c r="G10" s="331"/>
      <c r="H10" s="331"/>
    </row>
    <row r="11" spans="1:11">
      <c r="A11" s="331"/>
      <c r="B11" s="331"/>
      <c r="C11" s="331"/>
      <c r="D11" s="331"/>
      <c r="E11" s="331"/>
      <c r="F11" s="331"/>
      <c r="G11" s="331"/>
      <c r="H11" s="331"/>
    </row>
    <row r="13" spans="1:11" hidden="1">
      <c r="B13" s="108" t="s">
        <v>396</v>
      </c>
      <c r="F13" s="369">
        <v>81996.86</v>
      </c>
    </row>
    <row r="14" spans="1:11" hidden="1">
      <c r="B14" s="108" t="s">
        <v>398</v>
      </c>
      <c r="F14" s="376">
        <v>1.051979</v>
      </c>
    </row>
    <row r="15" spans="1:11" hidden="1">
      <c r="B15" s="377" t="s">
        <v>397</v>
      </c>
      <c r="C15" s="378"/>
      <c r="D15" s="378"/>
      <c r="E15" s="378"/>
      <c r="F15" s="379">
        <f>F13*F14</f>
        <v>86258.974785939994</v>
      </c>
    </row>
    <row r="16" spans="1:11" hidden="1">
      <c r="A16" s="108" t="s">
        <v>336</v>
      </c>
      <c r="F16" s="370"/>
    </row>
    <row r="17" spans="1:9" hidden="1">
      <c r="A17" s="332">
        <v>10</v>
      </c>
      <c r="B17" s="336" t="s">
        <v>80</v>
      </c>
      <c r="C17" s="346"/>
      <c r="D17" s="342"/>
      <c r="F17" s="374">
        <f>F7-F15</f>
        <v>-60303.910208975103</v>
      </c>
      <c r="I17" s="380">
        <f>F17/F13*1</f>
        <v>-0.73544170116971674</v>
      </c>
    </row>
    <row r="18" spans="1:9" hidden="1">
      <c r="A18" s="332">
        <v>5</v>
      </c>
      <c r="B18" s="336" t="s">
        <v>337</v>
      </c>
      <c r="C18" s="348"/>
      <c r="D18" s="343"/>
    </row>
    <row r="19" spans="1:9" hidden="1">
      <c r="A19" s="332">
        <v>5</v>
      </c>
      <c r="B19" s="336" t="s">
        <v>338</v>
      </c>
      <c r="C19" s="348"/>
      <c r="D19" s="343"/>
    </row>
    <row r="20" spans="1:9" hidden="1">
      <c r="A20" s="339">
        <f>SUM(A17:A19)</f>
        <v>20</v>
      </c>
      <c r="B20" s="336" t="s">
        <v>339</v>
      </c>
      <c r="C20" s="348"/>
      <c r="D20" s="343"/>
    </row>
    <row r="21" spans="1:9" hidden="1">
      <c r="A21" s="337">
        <f>F7*A20/100</f>
        <v>5191.0129153929774</v>
      </c>
      <c r="B21" s="338" t="s">
        <v>340</v>
      </c>
      <c r="C21" s="348"/>
      <c r="D21" s="343"/>
    </row>
    <row r="22" spans="1:9" hidden="1">
      <c r="A22" s="346"/>
      <c r="B22" s="347"/>
      <c r="C22" s="348"/>
      <c r="D22" s="343"/>
    </row>
    <row r="23" spans="1:9">
      <c r="A23" s="346"/>
      <c r="B23" s="346"/>
      <c r="C23" s="346"/>
      <c r="D23" s="343"/>
    </row>
    <row r="24" spans="1:9">
      <c r="A24" s="346"/>
      <c r="B24" s="349"/>
      <c r="C24" s="350"/>
      <c r="D24" s="344"/>
      <c r="F24" s="340"/>
    </row>
    <row r="25" spans="1:9">
      <c r="A25" s="346"/>
      <c r="B25" s="351"/>
      <c r="C25" s="346"/>
      <c r="D25" s="345"/>
      <c r="F25" s="341"/>
    </row>
    <row r="26" spans="1:9">
      <c r="A26" s="346"/>
      <c r="B26" s="351"/>
      <c r="C26" s="346"/>
      <c r="D26" s="345"/>
    </row>
    <row r="28" spans="1:9">
      <c r="F28" s="341"/>
    </row>
  </sheetData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9"/>
  <sheetViews>
    <sheetView topLeftCell="A17" workbookViewId="0">
      <selection activeCell="C37" sqref="C37"/>
    </sheetView>
  </sheetViews>
  <sheetFormatPr defaultColWidth="9.109375" defaultRowHeight="13.2"/>
  <cols>
    <col min="1" max="1" width="13.5546875" style="1" customWidth="1"/>
    <col min="2" max="2" width="39.5546875" style="1" bestFit="1" customWidth="1"/>
    <col min="3" max="3" width="20.88671875" style="1" customWidth="1"/>
    <col min="4" max="4" width="37.33203125" style="157" customWidth="1"/>
    <col min="5" max="10" width="9.109375" style="1"/>
    <col min="11" max="11" width="11" style="1" bestFit="1" customWidth="1"/>
    <col min="12" max="16384" width="9.109375" style="1"/>
  </cols>
  <sheetData>
    <row r="1" spans="1:12">
      <c r="A1" s="11" t="s">
        <v>193</v>
      </c>
    </row>
    <row r="2" spans="1:12">
      <c r="A2" s="139" t="s">
        <v>237</v>
      </c>
    </row>
    <row r="3" spans="1:12" s="4" customFormat="1" ht="15.6" customHeight="1">
      <c r="B3" s="138"/>
      <c r="C3" s="138"/>
      <c r="D3" s="138"/>
      <c r="E3" s="138"/>
      <c r="F3" s="138"/>
      <c r="G3" s="6"/>
    </row>
    <row r="4" spans="1:12" s="4" customFormat="1" ht="15.6" hidden="1" customHeight="1">
      <c r="A4" s="285" t="s">
        <v>264</v>
      </c>
      <c r="B4" s="138"/>
      <c r="C4" s="138"/>
      <c r="D4" s="138"/>
      <c r="E4" s="138"/>
      <c r="F4" s="138"/>
      <c r="G4" s="6"/>
    </row>
    <row r="5" spans="1:12" s="4" customFormat="1" ht="16.5" customHeight="1">
      <c r="A5" s="318" t="s">
        <v>273</v>
      </c>
      <c r="B5" s="5"/>
      <c r="C5" s="5"/>
      <c r="D5" s="6"/>
      <c r="E5" s="6"/>
      <c r="F5" s="6"/>
      <c r="G5" s="6"/>
    </row>
    <row r="6" spans="1:12" s="4" customFormat="1" ht="16.5" customHeight="1">
      <c r="A6" s="318" t="s">
        <v>274</v>
      </c>
      <c r="B6" s="5"/>
      <c r="C6" s="5"/>
      <c r="D6" s="6"/>
      <c r="E6" s="6"/>
      <c r="F6" s="6"/>
      <c r="G6" s="6"/>
    </row>
    <row r="7" spans="1:12" ht="13.8" thickBot="1"/>
    <row r="8" spans="1:12" ht="17.399999999999999">
      <c r="A8" s="481" t="s">
        <v>358</v>
      </c>
      <c r="B8" s="482"/>
      <c r="C8" s="483"/>
      <c r="D8" s="149"/>
      <c r="E8" s="149"/>
      <c r="F8" s="149"/>
    </row>
    <row r="9" spans="1:12" ht="13.8">
      <c r="A9" s="168" t="s">
        <v>132</v>
      </c>
      <c r="B9" s="169" t="s">
        <v>133</v>
      </c>
      <c r="C9" s="170" t="s">
        <v>134</v>
      </c>
      <c r="D9" s="171"/>
    </row>
    <row r="10" spans="1:12" ht="13.8">
      <c r="A10" s="168" t="s">
        <v>135</v>
      </c>
      <c r="B10" s="169" t="s">
        <v>43</v>
      </c>
      <c r="C10" s="172">
        <v>0.2</v>
      </c>
      <c r="D10" s="171"/>
      <c r="F10" s="157"/>
      <c r="G10" s="157"/>
      <c r="H10" s="157"/>
      <c r="I10" s="157"/>
      <c r="J10" s="157"/>
      <c r="K10" s="157"/>
      <c r="L10" s="157"/>
    </row>
    <row r="11" spans="1:12" ht="13.8">
      <c r="A11" s="168" t="s">
        <v>136</v>
      </c>
      <c r="B11" s="169" t="s">
        <v>137</v>
      </c>
      <c r="C11" s="172">
        <v>1.4999999999999999E-2</v>
      </c>
      <c r="D11" s="171"/>
      <c r="F11" s="157"/>
      <c r="G11" s="157"/>
      <c r="H11" s="157"/>
      <c r="I11" s="157"/>
      <c r="J11" s="157"/>
      <c r="K11" s="157"/>
      <c r="L11" s="157"/>
    </row>
    <row r="12" spans="1:12" ht="13.8">
      <c r="A12" s="168" t="s">
        <v>138</v>
      </c>
      <c r="B12" s="169" t="s">
        <v>139</v>
      </c>
      <c r="C12" s="172">
        <v>0.01</v>
      </c>
      <c r="D12" s="171"/>
      <c r="F12" s="157"/>
      <c r="G12" s="157"/>
      <c r="H12" s="157"/>
      <c r="I12" s="157"/>
      <c r="J12" s="157"/>
      <c r="K12" s="157"/>
      <c r="L12" s="157"/>
    </row>
    <row r="13" spans="1:12" ht="13.8">
      <c r="A13" s="168" t="s">
        <v>140</v>
      </c>
      <c r="B13" s="169" t="s">
        <v>141</v>
      </c>
      <c r="C13" s="172">
        <v>2E-3</v>
      </c>
      <c r="D13" s="171"/>
      <c r="F13" s="157"/>
      <c r="G13" s="157"/>
      <c r="H13" s="157"/>
      <c r="I13" s="157"/>
      <c r="J13" s="157"/>
      <c r="K13" s="157"/>
      <c r="L13" s="157"/>
    </row>
    <row r="14" spans="1:12" ht="13.8">
      <c r="A14" s="168" t="s">
        <v>142</v>
      </c>
      <c r="B14" s="169" t="s">
        <v>143</v>
      </c>
      <c r="C14" s="172">
        <v>6.0000000000000001E-3</v>
      </c>
      <c r="D14" s="171"/>
      <c r="F14" s="157"/>
      <c r="G14" s="157"/>
      <c r="H14" s="157"/>
      <c r="I14" s="157"/>
      <c r="J14" s="157"/>
      <c r="K14" s="157"/>
      <c r="L14" s="157"/>
    </row>
    <row r="15" spans="1:12" ht="13.8">
      <c r="A15" s="168" t="s">
        <v>144</v>
      </c>
      <c r="B15" s="169" t="s">
        <v>145</v>
      </c>
      <c r="C15" s="172">
        <v>2.5000000000000001E-2</v>
      </c>
      <c r="D15" s="171"/>
      <c r="F15" s="157"/>
      <c r="G15" s="157"/>
      <c r="H15" s="157"/>
      <c r="I15" s="157"/>
      <c r="J15" s="157"/>
      <c r="K15" s="157"/>
      <c r="L15" s="157"/>
    </row>
    <row r="16" spans="1:12" ht="13.8">
      <c r="A16" s="168" t="s">
        <v>146</v>
      </c>
      <c r="B16" s="169" t="s">
        <v>147</v>
      </c>
      <c r="C16" s="172">
        <v>0.03</v>
      </c>
      <c r="D16" s="171"/>
      <c r="F16" s="157"/>
      <c r="G16" s="157"/>
      <c r="H16" s="157"/>
      <c r="I16" s="157"/>
      <c r="J16" s="157"/>
      <c r="K16" s="157"/>
      <c r="L16" s="157"/>
    </row>
    <row r="17" spans="1:12" ht="13.8">
      <c r="A17" s="168" t="s">
        <v>148</v>
      </c>
      <c r="B17" s="169" t="s">
        <v>44</v>
      </c>
      <c r="C17" s="172">
        <v>0.08</v>
      </c>
      <c r="D17" s="173"/>
      <c r="F17" s="157"/>
      <c r="G17" s="157"/>
      <c r="H17" s="157"/>
      <c r="I17" s="157"/>
      <c r="J17" s="157"/>
      <c r="K17" s="157"/>
      <c r="L17" s="157"/>
    </row>
    <row r="18" spans="1:12" ht="13.8">
      <c r="A18" s="168" t="s">
        <v>149</v>
      </c>
      <c r="B18" s="174" t="s">
        <v>150</v>
      </c>
      <c r="C18" s="175">
        <f>SUM(C10:C17)</f>
        <v>0.36800000000000005</v>
      </c>
      <c r="D18" s="173"/>
      <c r="F18" s="157"/>
      <c r="G18" s="157"/>
      <c r="H18" s="157"/>
      <c r="I18" s="157"/>
      <c r="J18" s="157"/>
      <c r="K18" s="157"/>
      <c r="L18" s="157"/>
    </row>
    <row r="19" spans="1:12" ht="13.8">
      <c r="A19" s="176"/>
      <c r="B19" s="177"/>
      <c r="C19" s="178"/>
      <c r="D19" s="173"/>
      <c r="F19" s="157"/>
      <c r="G19" s="157"/>
      <c r="H19" s="157"/>
      <c r="I19" s="157"/>
      <c r="J19" s="157"/>
      <c r="K19" s="157"/>
      <c r="L19" s="157"/>
    </row>
    <row r="20" spans="1:12" ht="13.8">
      <c r="A20" s="168" t="s">
        <v>151</v>
      </c>
      <c r="B20" s="179" t="s">
        <v>152</v>
      </c>
      <c r="C20" s="172">
        <f>ROUND(IF('5.CAGED'!C32&gt;24,(1-12/'5.CAGED'!C32)*0.1111,0.1111-C29),4)</f>
        <v>6.5699999999999995E-2</v>
      </c>
      <c r="D20" s="173"/>
      <c r="F20" s="157"/>
      <c r="G20" s="157"/>
      <c r="H20" s="157"/>
      <c r="I20" s="157"/>
      <c r="J20" s="157"/>
      <c r="K20" s="157"/>
      <c r="L20" s="157"/>
    </row>
    <row r="21" spans="1:12" ht="13.8">
      <c r="A21" s="168" t="s">
        <v>153</v>
      </c>
      <c r="B21" s="179" t="s">
        <v>154</v>
      </c>
      <c r="C21" s="172">
        <f>ROUND('5.CAGED'!C36/'5.CAGED'!C33,4)</f>
        <v>8.3299999999999999E-2</v>
      </c>
      <c r="D21" s="173"/>
      <c r="F21" s="157"/>
      <c r="G21" s="157"/>
      <c r="H21" s="157"/>
      <c r="I21" s="157"/>
      <c r="J21" s="157"/>
      <c r="K21" s="157"/>
      <c r="L21" s="157"/>
    </row>
    <row r="22" spans="1:12" ht="13.8">
      <c r="A22" s="168" t="s">
        <v>213</v>
      </c>
      <c r="B22" s="179" t="s">
        <v>156</v>
      </c>
      <c r="C22" s="172">
        <v>5.9999999999999995E-4</v>
      </c>
      <c r="D22" s="173"/>
      <c r="F22" s="157"/>
      <c r="G22" s="157"/>
      <c r="H22" s="157"/>
      <c r="I22" s="157"/>
      <c r="J22" s="157"/>
      <c r="K22" s="157"/>
      <c r="L22" s="157"/>
    </row>
    <row r="23" spans="1:12" ht="13.8">
      <c r="A23" s="168" t="s">
        <v>155</v>
      </c>
      <c r="B23" s="179" t="s">
        <v>158</v>
      </c>
      <c r="C23" s="172">
        <v>8.2000000000000007E-3</v>
      </c>
      <c r="D23" s="173"/>
      <c r="F23" s="157"/>
      <c r="G23" s="157"/>
      <c r="H23" s="157"/>
      <c r="I23" s="157"/>
      <c r="J23" s="157"/>
      <c r="K23" s="157"/>
      <c r="L23" s="157"/>
    </row>
    <row r="24" spans="1:12" ht="13.8">
      <c r="A24" s="168" t="s">
        <v>157</v>
      </c>
      <c r="B24" s="179" t="s">
        <v>160</v>
      </c>
      <c r="C24" s="172">
        <v>3.0999999999999999E-3</v>
      </c>
      <c r="D24" s="173"/>
      <c r="F24" s="157"/>
      <c r="G24" s="157"/>
      <c r="H24" s="157"/>
      <c r="I24" s="157"/>
      <c r="J24" s="157"/>
      <c r="K24" s="157"/>
      <c r="L24" s="157"/>
    </row>
    <row r="25" spans="1:12" ht="13.8">
      <c r="A25" s="168" t="s">
        <v>159</v>
      </c>
      <c r="B25" s="179" t="s">
        <v>161</v>
      </c>
      <c r="C25" s="172">
        <v>1.2999999999999999E-2</v>
      </c>
      <c r="D25" s="173"/>
      <c r="F25" s="157"/>
      <c r="G25" s="157"/>
      <c r="H25" s="157"/>
      <c r="I25" s="157"/>
      <c r="J25" s="157"/>
      <c r="K25" s="157"/>
      <c r="L25" s="157"/>
    </row>
    <row r="26" spans="1:12" ht="13.8">
      <c r="A26" s="168" t="s">
        <v>162</v>
      </c>
      <c r="B26" s="174" t="s">
        <v>163</v>
      </c>
      <c r="C26" s="175">
        <f>SUM(C20:C25)</f>
        <v>0.1739</v>
      </c>
      <c r="D26" s="180"/>
      <c r="F26" s="157"/>
      <c r="G26" s="157"/>
      <c r="H26" s="157"/>
      <c r="I26" s="157"/>
      <c r="J26" s="157"/>
      <c r="K26" s="157"/>
      <c r="L26" s="157"/>
    </row>
    <row r="27" spans="1:12" ht="13.8">
      <c r="A27" s="176"/>
      <c r="B27" s="177"/>
      <c r="C27" s="178"/>
      <c r="D27" s="180"/>
      <c r="F27" s="157"/>
      <c r="G27" s="157"/>
      <c r="H27" s="157"/>
      <c r="I27" s="157"/>
      <c r="J27" s="157"/>
      <c r="K27" s="157"/>
      <c r="L27" s="157"/>
    </row>
    <row r="28" spans="1:12" ht="13.8">
      <c r="A28" s="168" t="s">
        <v>164</v>
      </c>
      <c r="B28" s="169" t="s">
        <v>165</v>
      </c>
      <c r="C28" s="172">
        <v>2.4E-2</v>
      </c>
      <c r="D28" s="173"/>
      <c r="E28" s="181"/>
      <c r="F28" s="157"/>
      <c r="G28" s="157"/>
      <c r="H28" s="157"/>
      <c r="I28" s="157"/>
      <c r="J28" s="157"/>
      <c r="K28" s="157"/>
      <c r="L28" s="157"/>
    </row>
    <row r="29" spans="1:12" ht="13.8">
      <c r="A29" s="168" t="s">
        <v>212</v>
      </c>
      <c r="B29" s="169" t="s">
        <v>167</v>
      </c>
      <c r="C29" s="172">
        <f>ROUND(IF('5.CAGED'!C32&gt;12,12/'5.CAGED'!C32*0.1111,0.1111),4)</f>
        <v>4.5400000000000003E-2</v>
      </c>
      <c r="D29" s="173"/>
      <c r="F29" s="157"/>
      <c r="G29" s="157"/>
      <c r="H29" s="182"/>
      <c r="I29" s="157"/>
      <c r="J29" s="157"/>
      <c r="K29" s="157"/>
      <c r="L29" s="157"/>
    </row>
    <row r="30" spans="1:12" ht="13.8">
      <c r="A30" s="168" t="s">
        <v>166</v>
      </c>
      <c r="B30" s="169" t="s">
        <v>169</v>
      </c>
      <c r="C30" s="172">
        <f>C28*C29</f>
        <v>1.0896E-3</v>
      </c>
      <c r="D30" s="173"/>
      <c r="E30" s="181"/>
      <c r="F30" s="157"/>
      <c r="G30" s="157"/>
      <c r="H30" s="157"/>
      <c r="I30" s="157"/>
      <c r="J30" s="157"/>
      <c r="K30" s="157"/>
      <c r="L30" s="157"/>
    </row>
    <row r="31" spans="1:12" ht="13.8">
      <c r="A31" s="168" t="s">
        <v>168</v>
      </c>
      <c r="B31" s="169" t="s">
        <v>171</v>
      </c>
      <c r="C31" s="172">
        <v>1.7999999999999999E-2</v>
      </c>
      <c r="D31" s="173"/>
      <c r="F31" s="157"/>
      <c r="G31" s="183"/>
      <c r="H31" s="157"/>
      <c r="I31" s="157"/>
      <c r="J31" s="157"/>
      <c r="K31" s="157"/>
      <c r="L31" s="157"/>
    </row>
    <row r="32" spans="1:12" ht="13.8">
      <c r="A32" s="168" t="s">
        <v>170</v>
      </c>
      <c r="B32" s="169" t="s">
        <v>172</v>
      </c>
      <c r="C32" s="172">
        <f>ROUND(('5.CAGED'!C35/'5.CAGED'!C33)*'5.CAGED'!C30/12,4)</f>
        <v>2E-3</v>
      </c>
      <c r="D32" s="173"/>
      <c r="F32" s="157"/>
      <c r="G32" s="157"/>
      <c r="H32" s="157"/>
      <c r="I32" s="157"/>
      <c r="J32" s="157"/>
      <c r="K32" s="157"/>
      <c r="L32" s="157"/>
    </row>
    <row r="33" spans="1:12" ht="13.8">
      <c r="A33" s="168" t="s">
        <v>173</v>
      </c>
      <c r="B33" s="174" t="s">
        <v>174</v>
      </c>
      <c r="C33" s="175">
        <f>SUM(C28:C32)</f>
        <v>9.0489600000000003E-2</v>
      </c>
      <c r="D33" s="180"/>
      <c r="F33" s="157"/>
      <c r="G33" s="157"/>
      <c r="H33" s="157"/>
      <c r="I33" s="157"/>
      <c r="J33" s="157"/>
      <c r="K33" s="157"/>
      <c r="L33" s="157"/>
    </row>
    <row r="34" spans="1:12" ht="13.8">
      <c r="A34" s="176"/>
      <c r="B34" s="177"/>
      <c r="C34" s="178"/>
      <c r="D34" s="180"/>
      <c r="F34" s="157"/>
      <c r="G34" s="157"/>
      <c r="H34" s="157"/>
      <c r="I34" s="157"/>
      <c r="J34" s="157"/>
      <c r="K34" s="157"/>
      <c r="L34" s="157"/>
    </row>
    <row r="35" spans="1:12" ht="13.8">
      <c r="A35" s="168" t="s">
        <v>175</v>
      </c>
      <c r="B35" s="169" t="s">
        <v>176</v>
      </c>
      <c r="C35" s="172">
        <f>ROUND(C18*C26,4)</f>
        <v>6.4000000000000001E-2</v>
      </c>
      <c r="D35" s="173"/>
      <c r="F35" s="157"/>
      <c r="G35" s="157"/>
      <c r="H35" s="157"/>
      <c r="I35" s="157"/>
      <c r="J35" s="157"/>
      <c r="K35" s="157"/>
      <c r="L35" s="157"/>
    </row>
    <row r="36" spans="1:12" ht="27.6">
      <c r="A36" s="168" t="s">
        <v>177</v>
      </c>
      <c r="B36" s="184" t="s">
        <v>260</v>
      </c>
      <c r="C36" s="172">
        <f>ROUND((C28*C17),4)</f>
        <v>1.9E-3</v>
      </c>
      <c r="D36" s="173"/>
      <c r="F36" s="157"/>
      <c r="G36" s="157"/>
      <c r="H36" s="157"/>
      <c r="I36" s="157"/>
      <c r="J36" s="157"/>
      <c r="K36" s="157"/>
      <c r="L36" s="157"/>
    </row>
    <row r="37" spans="1:12" ht="13.8">
      <c r="A37" s="168" t="s">
        <v>178</v>
      </c>
      <c r="B37" s="174" t="s">
        <v>179</v>
      </c>
      <c r="C37" s="175">
        <f>SUM(C35:C36)</f>
        <v>6.59E-2</v>
      </c>
      <c r="D37" s="185"/>
      <c r="F37" s="157"/>
      <c r="G37" s="157"/>
      <c r="H37" s="157"/>
      <c r="I37" s="157"/>
      <c r="J37" s="157"/>
      <c r="K37" s="157"/>
      <c r="L37" s="157"/>
    </row>
    <row r="38" spans="1:12" ht="14.4" thickBot="1">
      <c r="A38" s="186"/>
      <c r="B38" s="187" t="s">
        <v>180</v>
      </c>
      <c r="C38" s="188">
        <f>C37+C33+C26+C18</f>
        <v>0.69828960000000007</v>
      </c>
      <c r="D38" s="185"/>
      <c r="F38" s="157"/>
      <c r="G38" s="157"/>
      <c r="H38" s="157"/>
      <c r="I38" s="157"/>
      <c r="J38" s="157"/>
      <c r="K38" s="157"/>
      <c r="L38" s="157"/>
    </row>
    <row r="39" spans="1:12" ht="13.8">
      <c r="A39" s="173"/>
      <c r="B39" s="189"/>
      <c r="C39" s="190"/>
      <c r="D39" s="191"/>
      <c r="F39" s="157"/>
      <c r="G39" s="157"/>
      <c r="H39" s="157"/>
      <c r="I39" s="157"/>
      <c r="J39" s="157"/>
      <c r="K39" s="157"/>
      <c r="L39" s="157"/>
    </row>
    <row r="40" spans="1:12" ht="13.8">
      <c r="A40" s="173"/>
      <c r="B40" s="173"/>
      <c r="C40" s="192"/>
      <c r="D40" s="193"/>
      <c r="F40" s="157"/>
      <c r="G40" s="157"/>
      <c r="H40" s="157"/>
      <c r="I40" s="157"/>
      <c r="J40" s="157"/>
      <c r="K40" s="157"/>
      <c r="L40" s="157"/>
    </row>
    <row r="41" spans="1:12" ht="13.8">
      <c r="A41" s="171"/>
      <c r="B41" s="171"/>
      <c r="C41" s="194"/>
      <c r="D41" s="171"/>
      <c r="F41" s="157"/>
      <c r="G41" s="157"/>
      <c r="H41" s="157"/>
      <c r="I41" s="157"/>
      <c r="J41" s="157"/>
      <c r="K41" s="157"/>
      <c r="L41" s="157"/>
    </row>
    <row r="42" spans="1:12" ht="13.8">
      <c r="A42" s="171"/>
      <c r="B42" s="171"/>
      <c r="C42" s="194"/>
      <c r="D42" s="171"/>
      <c r="F42" s="157"/>
      <c r="G42" s="157"/>
      <c r="H42" s="157"/>
      <c r="I42" s="157"/>
      <c r="J42" s="157"/>
      <c r="K42" s="157"/>
      <c r="L42" s="157"/>
    </row>
    <row r="43" spans="1:12" ht="13.8">
      <c r="A43" s="171"/>
      <c r="B43" s="171"/>
      <c r="C43" s="194"/>
      <c r="D43" s="171"/>
      <c r="F43" s="157"/>
      <c r="G43" s="157"/>
      <c r="H43" s="157"/>
      <c r="I43" s="157"/>
      <c r="J43" s="157"/>
      <c r="K43" s="157"/>
      <c r="L43" s="157"/>
    </row>
    <row r="44" spans="1:12" ht="13.8">
      <c r="A44" s="171"/>
      <c r="B44" s="195"/>
      <c r="C44" s="196"/>
      <c r="D44" s="171"/>
      <c r="F44" s="157"/>
      <c r="G44" s="157"/>
      <c r="H44" s="157"/>
      <c r="I44" s="157"/>
      <c r="J44" s="157"/>
      <c r="K44" s="157"/>
      <c r="L44" s="157"/>
    </row>
    <row r="45" spans="1:12" ht="13.8">
      <c r="A45" s="185"/>
      <c r="B45" s="195"/>
      <c r="C45" s="196"/>
      <c r="D45" s="185"/>
      <c r="E45" s="157"/>
      <c r="F45" s="157"/>
      <c r="G45" s="157"/>
      <c r="H45" s="157"/>
      <c r="I45" s="157"/>
      <c r="J45" s="157"/>
      <c r="K45" s="157"/>
      <c r="L45" s="157"/>
    </row>
    <row r="46" spans="1:12" ht="16.8">
      <c r="A46" s="197"/>
      <c r="B46" s="157"/>
      <c r="C46" s="157"/>
      <c r="E46" s="157"/>
      <c r="F46" s="157"/>
      <c r="G46" s="157"/>
      <c r="H46" s="157"/>
      <c r="I46" s="157"/>
      <c r="J46" s="157"/>
      <c r="K46" s="157"/>
      <c r="L46" s="157"/>
    </row>
    <row r="47" spans="1:12">
      <c r="A47" s="198"/>
      <c r="B47" s="199"/>
      <c r="C47" s="199"/>
      <c r="E47" s="157"/>
      <c r="F47" s="157"/>
      <c r="G47" s="157"/>
      <c r="H47" s="157"/>
      <c r="I47" s="157"/>
      <c r="J47" s="157"/>
      <c r="K47" s="157"/>
      <c r="L47" s="157"/>
    </row>
    <row r="48" spans="1:12" ht="13.8">
      <c r="A48" s="171"/>
      <c r="B48" s="200"/>
      <c r="C48" s="199"/>
      <c r="E48" s="157"/>
      <c r="F48" s="157"/>
      <c r="G48" s="157"/>
      <c r="H48" s="157"/>
      <c r="I48" s="157"/>
      <c r="J48" s="157"/>
      <c r="K48" s="157"/>
      <c r="L48" s="157"/>
    </row>
    <row r="49" spans="1:12" ht="13.8">
      <c r="A49" s="171"/>
      <c r="B49" s="200"/>
      <c r="C49" s="171"/>
      <c r="E49" s="157"/>
      <c r="F49" s="157"/>
      <c r="G49" s="157"/>
      <c r="H49" s="157"/>
      <c r="I49" s="157"/>
      <c r="J49" s="157"/>
      <c r="K49" s="157"/>
      <c r="L49" s="157"/>
    </row>
    <row r="50" spans="1:12" ht="13.8">
      <c r="A50" s="171"/>
      <c r="B50" s="194"/>
      <c r="C50" s="199"/>
      <c r="E50" s="157"/>
      <c r="F50" s="157"/>
      <c r="G50" s="157"/>
      <c r="H50" s="157"/>
      <c r="I50" s="157"/>
      <c r="J50" s="157"/>
      <c r="K50" s="157"/>
      <c r="L50" s="157"/>
    </row>
    <row r="51" spans="1:12" ht="13.8">
      <c r="A51" s="171"/>
      <c r="B51" s="200"/>
      <c r="C51" s="171"/>
      <c r="E51" s="157"/>
      <c r="F51" s="157"/>
      <c r="G51" s="157"/>
      <c r="H51" s="157"/>
      <c r="I51" s="157"/>
      <c r="J51" s="157"/>
      <c r="K51" s="157"/>
      <c r="L51" s="157"/>
    </row>
    <row r="52" spans="1:12" ht="13.8">
      <c r="A52" s="171"/>
      <c r="B52" s="194"/>
      <c r="C52" s="199"/>
      <c r="E52" s="157"/>
      <c r="F52" s="157"/>
      <c r="G52" s="157"/>
      <c r="H52" s="157"/>
      <c r="I52" s="157"/>
      <c r="J52" s="157"/>
      <c r="K52" s="157"/>
      <c r="L52" s="157"/>
    </row>
    <row r="53" spans="1:12" ht="13.8">
      <c r="A53" s="171"/>
      <c r="B53" s="200"/>
      <c r="C53" s="171"/>
      <c r="E53" s="157"/>
      <c r="F53" s="157"/>
      <c r="G53" s="157"/>
      <c r="H53" s="157"/>
      <c r="I53" s="157"/>
      <c r="J53" s="157"/>
      <c r="K53" s="157"/>
      <c r="L53" s="157"/>
    </row>
    <row r="54" spans="1:12" ht="13.8">
      <c r="A54" s="171"/>
      <c r="B54" s="194"/>
      <c r="C54" s="199"/>
      <c r="E54" s="157"/>
      <c r="F54" s="157"/>
      <c r="G54" s="157"/>
      <c r="H54" s="157"/>
      <c r="I54" s="157"/>
      <c r="J54" s="157"/>
      <c r="K54" s="157"/>
      <c r="L54" s="157"/>
    </row>
    <row r="55" spans="1:12" ht="13.8">
      <c r="A55" s="171"/>
      <c r="B55" s="200"/>
      <c r="C55" s="171"/>
      <c r="E55" s="157"/>
      <c r="F55" s="157"/>
      <c r="G55" s="157"/>
      <c r="H55" s="157"/>
      <c r="I55" s="157"/>
      <c r="J55" s="157"/>
      <c r="K55" s="157"/>
      <c r="L55" s="157"/>
    </row>
    <row r="56" spans="1:12" ht="13.8">
      <c r="A56" s="171"/>
      <c r="B56" s="194"/>
      <c r="C56" s="199"/>
      <c r="E56" s="157"/>
      <c r="F56" s="157"/>
      <c r="G56" s="157"/>
      <c r="H56" s="157"/>
      <c r="I56" s="157"/>
      <c r="J56" s="157"/>
      <c r="K56" s="157"/>
      <c r="L56" s="157"/>
    </row>
    <row r="57" spans="1:12" ht="16.8">
      <c r="A57" s="197"/>
      <c r="B57" s="157"/>
      <c r="C57" s="157"/>
      <c r="E57" s="157"/>
      <c r="F57" s="157"/>
      <c r="G57" s="157"/>
      <c r="H57" s="157"/>
      <c r="I57" s="157"/>
      <c r="J57" s="157"/>
      <c r="K57" s="157"/>
      <c r="L57" s="157"/>
    </row>
    <row r="58" spans="1:12">
      <c r="A58" s="157"/>
      <c r="B58" s="157"/>
      <c r="C58" s="157"/>
      <c r="E58" s="157"/>
      <c r="F58" s="157"/>
      <c r="G58" s="157"/>
      <c r="H58" s="157"/>
      <c r="I58" s="157"/>
      <c r="J58" s="157"/>
      <c r="K58" s="157"/>
      <c r="L58" s="157"/>
    </row>
    <row r="59" spans="1:12">
      <c r="A59" s="157"/>
      <c r="B59" s="157"/>
      <c r="C59" s="157"/>
      <c r="E59" s="157"/>
      <c r="F59" s="157"/>
      <c r="G59" s="157"/>
      <c r="H59" s="157"/>
      <c r="I59" s="157"/>
      <c r="J59" s="157"/>
      <c r="K59" s="157"/>
      <c r="L59" s="157"/>
    </row>
    <row r="60" spans="1:12">
      <c r="A60" s="201"/>
      <c r="B60" s="157"/>
      <c r="C60" s="157"/>
      <c r="E60" s="157"/>
      <c r="F60" s="157"/>
      <c r="G60" s="157"/>
      <c r="H60" s="157"/>
      <c r="I60" s="157"/>
      <c r="J60" s="157"/>
      <c r="K60" s="157"/>
      <c r="L60" s="157"/>
    </row>
    <row r="61" spans="1:12">
      <c r="A61" s="157"/>
      <c r="B61" s="157"/>
      <c r="C61" s="157"/>
      <c r="E61" s="157"/>
    </row>
    <row r="62" spans="1:12">
      <c r="A62" s="157"/>
      <c r="B62" s="157"/>
      <c r="C62" s="157"/>
      <c r="E62" s="157"/>
    </row>
    <row r="63" spans="1:12">
      <c r="A63" s="157"/>
      <c r="B63" s="157"/>
      <c r="C63" s="157"/>
      <c r="E63" s="157"/>
    </row>
    <row r="64" spans="1:12">
      <c r="A64" s="157"/>
      <c r="B64" s="157"/>
      <c r="C64" s="157"/>
      <c r="E64" s="157"/>
    </row>
    <row r="65" spans="1:5">
      <c r="A65" s="157"/>
      <c r="B65" s="157"/>
      <c r="C65" s="157"/>
      <c r="E65" s="157"/>
    </row>
    <row r="66" spans="1:5">
      <c r="A66" s="157"/>
      <c r="B66" s="157"/>
      <c r="C66" s="157"/>
      <c r="E66" s="157"/>
    </row>
    <row r="67" spans="1:5">
      <c r="A67" s="157"/>
      <c r="B67" s="157"/>
      <c r="C67" s="157"/>
      <c r="E67" s="157"/>
    </row>
    <row r="68" spans="1:5">
      <c r="A68" s="157"/>
      <c r="B68" s="157"/>
      <c r="C68" s="157"/>
      <c r="E68" s="157"/>
    </row>
    <row r="69" spans="1:5">
      <c r="A69" s="157"/>
      <c r="B69" s="157"/>
      <c r="C69" s="157"/>
      <c r="E69" s="157"/>
    </row>
  </sheetData>
  <mergeCells count="1">
    <mergeCell ref="A8:C8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workbookViewId="0"/>
  </sheetViews>
  <sheetFormatPr defaultColWidth="9.109375" defaultRowHeight="13.2"/>
  <cols>
    <col min="1" max="1" width="8.5546875" style="1" customWidth="1"/>
    <col min="2" max="2" width="67.109375" style="1" customWidth="1"/>
    <col min="3" max="3" width="13.6640625" style="1" customWidth="1"/>
    <col min="4" max="4" width="10.33203125" style="1" customWidth="1"/>
    <col min="5" max="5" width="13.6640625" style="1" customWidth="1"/>
    <col min="6" max="16384" width="9.109375" style="1"/>
  </cols>
  <sheetData>
    <row r="1" spans="1:3">
      <c r="A1" s="108" t="s">
        <v>231</v>
      </c>
    </row>
    <row r="3" spans="1:3">
      <c r="A3" s="1" t="s">
        <v>201</v>
      </c>
    </row>
    <row r="4" spans="1:3">
      <c r="A4" s="277" t="s">
        <v>197</v>
      </c>
    </row>
    <row r="5" spans="1:3" ht="25.5" customHeight="1">
      <c r="A5" s="487" t="s">
        <v>246</v>
      </c>
      <c r="B5" s="486"/>
      <c r="C5" s="486"/>
    </row>
    <row r="6" spans="1:3">
      <c r="A6" s="1" t="s">
        <v>198</v>
      </c>
    </row>
    <row r="7" spans="1:3" ht="26.25" customHeight="1">
      <c r="A7" s="486" t="s">
        <v>199</v>
      </c>
      <c r="B7" s="486"/>
      <c r="C7" s="486"/>
    </row>
    <row r="8" spans="1:3">
      <c r="A8" s="1" t="s">
        <v>200</v>
      </c>
    </row>
    <row r="9" spans="1:3">
      <c r="A9" s="287" t="s">
        <v>232</v>
      </c>
    </row>
    <row r="10" spans="1:3" ht="13.8" thickBot="1"/>
    <row r="11" spans="1:3" ht="17.399999999999999">
      <c r="B11" s="484" t="s">
        <v>359</v>
      </c>
      <c r="C11" s="485"/>
    </row>
    <row r="12" spans="1:3" ht="13.8">
      <c r="A12" s="157"/>
      <c r="B12" s="156" t="s">
        <v>196</v>
      </c>
      <c r="C12" s="202"/>
    </row>
    <row r="13" spans="1:3" ht="13.8">
      <c r="A13" s="157"/>
      <c r="B13" s="158" t="s">
        <v>116</v>
      </c>
      <c r="C13" s="159">
        <v>1932</v>
      </c>
    </row>
    <row r="14" spans="1:3" ht="13.8">
      <c r="A14" s="157"/>
      <c r="B14" s="160" t="s">
        <v>117</v>
      </c>
      <c r="C14" s="159">
        <v>2197</v>
      </c>
    </row>
    <row r="15" spans="1:3" ht="13.8">
      <c r="A15" s="157"/>
      <c r="B15" s="203" t="s">
        <v>118</v>
      </c>
      <c r="C15" s="204">
        <v>25</v>
      </c>
    </row>
    <row r="16" spans="1:3" ht="13.8">
      <c r="A16" s="157"/>
      <c r="B16" s="203" t="s">
        <v>119</v>
      </c>
      <c r="C16" s="204">
        <v>1463</v>
      </c>
    </row>
    <row r="17" spans="1:5" ht="13.8">
      <c r="A17" s="157"/>
      <c r="B17" s="203" t="s">
        <v>120</v>
      </c>
      <c r="C17" s="204">
        <v>321</v>
      </c>
    </row>
    <row r="18" spans="1:5" ht="13.8">
      <c r="A18" s="157"/>
      <c r="B18" s="203" t="s">
        <v>121</v>
      </c>
      <c r="C18" s="204">
        <v>12</v>
      </c>
    </row>
    <row r="19" spans="1:5" ht="13.8">
      <c r="A19" s="157"/>
      <c r="B19" s="203" t="s">
        <v>122</v>
      </c>
      <c r="C19" s="204">
        <v>339</v>
      </c>
    </row>
    <row r="20" spans="1:5" ht="13.8">
      <c r="A20" s="157"/>
      <c r="B20" s="203" t="s">
        <v>123</v>
      </c>
      <c r="C20" s="204">
        <v>0</v>
      </c>
    </row>
    <row r="21" spans="1:5" ht="13.8">
      <c r="A21" s="157"/>
      <c r="B21" s="203" t="s">
        <v>124</v>
      </c>
      <c r="C21" s="204">
        <v>22</v>
      </c>
    </row>
    <row r="22" spans="1:5" ht="13.8">
      <c r="A22" s="157"/>
      <c r="B22" s="205" t="s">
        <v>125</v>
      </c>
      <c r="C22" s="206">
        <v>0</v>
      </c>
    </row>
    <row r="23" spans="1:5" ht="13.8">
      <c r="A23" s="157"/>
      <c r="B23" s="293" t="s">
        <v>267</v>
      </c>
      <c r="C23" s="206">
        <v>0</v>
      </c>
    </row>
    <row r="24" spans="1:5" ht="13.8">
      <c r="A24" s="157" t="s">
        <v>126</v>
      </c>
      <c r="B24" s="156" t="s">
        <v>127</v>
      </c>
      <c r="C24" s="202"/>
    </row>
    <row r="25" spans="1:5" ht="13.8">
      <c r="A25" s="157"/>
      <c r="B25" s="207" t="s">
        <v>268</v>
      </c>
      <c r="C25" s="208">
        <v>5183</v>
      </c>
    </row>
    <row r="26" spans="1:5" ht="13.8">
      <c r="A26" s="157"/>
      <c r="B26" s="203" t="s">
        <v>269</v>
      </c>
      <c r="C26" s="204">
        <v>4918</v>
      </c>
    </row>
    <row r="27" spans="1:5" ht="13.8">
      <c r="B27" s="203" t="s">
        <v>270</v>
      </c>
      <c r="C27" s="286">
        <f>C13-C14</f>
        <v>-265</v>
      </c>
    </row>
    <row r="28" spans="1:5" ht="13.8">
      <c r="B28" s="209"/>
      <c r="C28" s="210"/>
    </row>
    <row r="29" spans="1:5" s="108" customFormat="1" ht="13.8">
      <c r="B29" s="158" t="s">
        <v>129</v>
      </c>
      <c r="C29" s="211">
        <f>MEDIAN(C25,C26)</f>
        <v>5050.5</v>
      </c>
    </row>
    <row r="30" spans="1:5" ht="13.8">
      <c r="B30" s="160" t="s">
        <v>265</v>
      </c>
      <c r="C30" s="291">
        <f>C16/C29</f>
        <v>0.28967428967428965</v>
      </c>
    </row>
    <row r="31" spans="1:5" ht="13.8">
      <c r="B31" s="160" t="s">
        <v>266</v>
      </c>
      <c r="C31" s="291">
        <f>MEDIAN(C13,C14)/C29</f>
        <v>0.40877140877140877</v>
      </c>
      <c r="E31" s="277"/>
    </row>
    <row r="32" spans="1:5" s="108" customFormat="1" ht="13.8">
      <c r="B32" s="160" t="s">
        <v>238</v>
      </c>
      <c r="C32" s="289">
        <f>12/C31</f>
        <v>29.356260595785905</v>
      </c>
    </row>
    <row r="33" spans="2:3" ht="13.8">
      <c r="B33" s="160" t="s">
        <v>128</v>
      </c>
      <c r="C33" s="162">
        <v>360</v>
      </c>
    </row>
    <row r="34" spans="2:3" ht="13.8">
      <c r="B34" s="160" t="s">
        <v>233</v>
      </c>
      <c r="C34" s="162">
        <v>10</v>
      </c>
    </row>
    <row r="35" spans="2:3" ht="13.8">
      <c r="B35" s="158" t="s">
        <v>234</v>
      </c>
      <c r="C35" s="161">
        <v>30</v>
      </c>
    </row>
    <row r="36" spans="2:3" ht="13.8">
      <c r="B36" s="158" t="s">
        <v>235</v>
      </c>
      <c r="C36" s="161">
        <v>30</v>
      </c>
    </row>
    <row r="37" spans="2:3" s="108" customFormat="1" ht="13.8">
      <c r="B37" s="158" t="s">
        <v>131</v>
      </c>
      <c r="C37" s="161">
        <f>30+(3*TRUNC(1/C31))</f>
        <v>36</v>
      </c>
    </row>
    <row r="38" spans="2:3" s="108" customFormat="1" ht="13.8">
      <c r="B38" s="160" t="s">
        <v>44</v>
      </c>
      <c r="C38" s="290">
        <v>0.08</v>
      </c>
    </row>
    <row r="39" spans="2:3" s="108" customFormat="1" ht="14.4" thickBot="1">
      <c r="B39" s="163" t="s">
        <v>130</v>
      </c>
      <c r="C39" s="292">
        <v>0.4</v>
      </c>
    </row>
  </sheetData>
  <mergeCells count="3">
    <mergeCell ref="B11:C11"/>
    <mergeCell ref="A7:C7"/>
    <mergeCell ref="A5:C5"/>
  </mergeCells>
  <pageMargins left="0.90551181102362199" right="0.51181102362204722" top="0.74803149606299213" bottom="0.74803149606299213" header="0.31496062992125984" footer="0.31496062992125984"/>
  <pageSetup paperSize="9" scale="98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A6" sqref="A6"/>
    </sheetView>
  </sheetViews>
  <sheetFormatPr defaultRowHeight="13.2"/>
  <cols>
    <col min="1" max="1" width="41.88671875" bestFit="1" customWidth="1"/>
    <col min="2" max="2" width="5.5546875" bestFit="1" customWidth="1"/>
    <col min="4" max="4" width="9.6640625" bestFit="1" customWidth="1"/>
    <col min="5" max="5" width="8" style="121" bestFit="1" customWidth="1"/>
    <col min="6" max="6" width="9.6640625" bestFit="1" customWidth="1"/>
  </cols>
  <sheetData>
    <row r="1" spans="1:8" s="146" customFormat="1" ht="13.8">
      <c r="A1" s="11" t="s">
        <v>193</v>
      </c>
      <c r="B1" s="144"/>
      <c r="C1" s="144"/>
      <c r="E1" s="147"/>
    </row>
    <row r="2" spans="1:8" s="146" customFormat="1" ht="13.8">
      <c r="A2" s="139" t="s">
        <v>239</v>
      </c>
      <c r="B2" s="144"/>
      <c r="C2" s="144"/>
      <c r="E2" s="147"/>
    </row>
    <row r="3" spans="1:8" s="146" customFormat="1" ht="13.8">
      <c r="A3" s="9" t="s">
        <v>194</v>
      </c>
      <c r="B3" s="144"/>
      <c r="C3" s="144"/>
      <c r="E3" s="147"/>
    </row>
    <row r="4" spans="1:8" s="146" customFormat="1" ht="13.8">
      <c r="A4" s="9"/>
      <c r="B4" s="144"/>
      <c r="C4" s="144"/>
      <c r="E4" s="147"/>
    </row>
    <row r="5" spans="1:8" s="4" customFormat="1" ht="15.6" hidden="1" customHeight="1">
      <c r="A5" s="285" t="s">
        <v>264</v>
      </c>
      <c r="B5" s="138"/>
      <c r="C5" s="138"/>
      <c r="D5" s="138"/>
      <c r="E5" s="138"/>
      <c r="F5" s="138"/>
      <c r="G5" s="6"/>
    </row>
    <row r="6" spans="1:8" s="4" customFormat="1" ht="16.5" customHeight="1">
      <c r="A6" s="318" t="s">
        <v>271</v>
      </c>
      <c r="B6" s="5"/>
      <c r="C6" s="5"/>
      <c r="D6" s="6"/>
      <c r="E6" s="6"/>
      <c r="F6" s="6"/>
      <c r="G6" s="6"/>
    </row>
    <row r="7" spans="1:8" s="4" customFormat="1" ht="16.5" customHeight="1">
      <c r="A7" s="318" t="s">
        <v>272</v>
      </c>
      <c r="B7" s="5"/>
      <c r="C7" s="5"/>
      <c r="D7" s="6"/>
      <c r="E7" s="6"/>
      <c r="F7" s="6"/>
      <c r="G7" s="6"/>
    </row>
    <row r="8" spans="1:8" s="146" customFormat="1" ht="14.4" thickBot="1">
      <c r="B8" s="144"/>
      <c r="C8" s="144"/>
      <c r="E8" s="147"/>
    </row>
    <row r="9" spans="1:8" ht="15.6">
      <c r="A9" s="493" t="s">
        <v>360</v>
      </c>
      <c r="B9" s="494"/>
      <c r="C9" s="494"/>
      <c r="D9" s="494"/>
      <c r="E9" s="494"/>
      <c r="F9" s="495"/>
    </row>
    <row r="10" spans="1:8" ht="16.2" thickBot="1">
      <c r="A10" s="262"/>
      <c r="B10" s="263"/>
      <c r="C10" s="263"/>
      <c r="D10" s="263"/>
      <c r="E10" s="263"/>
      <c r="F10" s="264"/>
    </row>
    <row r="11" spans="1:8" ht="13.8">
      <c r="A11" s="212"/>
      <c r="B11" s="145"/>
      <c r="C11" s="145"/>
      <c r="D11" s="490" t="s">
        <v>236</v>
      </c>
      <c r="E11" s="491"/>
      <c r="F11" s="492"/>
      <c r="G11" s="146"/>
      <c r="H11" s="146"/>
    </row>
    <row r="12" spans="1:8" ht="14.4" thickBot="1">
      <c r="A12" s="209"/>
      <c r="B12" s="213"/>
      <c r="C12" s="213"/>
      <c r="D12" s="214" t="s">
        <v>181</v>
      </c>
      <c r="E12" s="215" t="s">
        <v>182</v>
      </c>
      <c r="F12" s="216" t="s">
        <v>183</v>
      </c>
      <c r="G12" s="146"/>
      <c r="H12" s="146"/>
    </row>
    <row r="13" spans="1:8" ht="13.8">
      <c r="A13" s="217" t="s">
        <v>76</v>
      </c>
      <c r="B13" s="218" t="s">
        <v>77</v>
      </c>
      <c r="C13" s="219">
        <v>0.05</v>
      </c>
      <c r="D13" s="240">
        <v>2.9700000000000001E-2</v>
      </c>
      <c r="E13" s="241">
        <v>5.0799999999999998E-2</v>
      </c>
      <c r="F13" s="242">
        <v>6.2700000000000006E-2</v>
      </c>
      <c r="G13" s="146"/>
      <c r="H13" s="146"/>
    </row>
    <row r="14" spans="1:8" ht="13.8">
      <c r="A14" s="221" t="s">
        <v>78</v>
      </c>
      <c r="B14" s="222" t="s">
        <v>79</v>
      </c>
      <c r="C14" s="223">
        <v>8.6E-3</v>
      </c>
      <c r="D14" s="240">
        <f>0.3%+0.56%</f>
        <v>8.6E-3</v>
      </c>
      <c r="E14" s="241">
        <f>0.48%+0.85%</f>
        <v>1.3299999999999999E-2</v>
      </c>
      <c r="F14" s="242">
        <f>0.82%+0.89%</f>
        <v>1.7099999999999997E-2</v>
      </c>
      <c r="G14" s="146"/>
      <c r="H14" s="146"/>
    </row>
    <row r="15" spans="1:8" ht="13.8">
      <c r="A15" s="221" t="s">
        <v>80</v>
      </c>
      <c r="B15" s="222" t="s">
        <v>81</v>
      </c>
      <c r="C15" s="223">
        <v>0.1</v>
      </c>
      <c r="D15" s="240">
        <v>7.7799999999999994E-2</v>
      </c>
      <c r="E15" s="241">
        <v>0.1085</v>
      </c>
      <c r="F15" s="242">
        <v>0.13550000000000001</v>
      </c>
      <c r="G15" s="146"/>
      <c r="H15" s="146"/>
    </row>
    <row r="16" spans="1:8" ht="13.8">
      <c r="A16" s="221" t="s">
        <v>82</v>
      </c>
      <c r="B16" s="222" t="s">
        <v>83</v>
      </c>
      <c r="C16" s="224">
        <f>(1+E16)^(E17/252)-1</f>
        <v>1.6530184888907673E-3</v>
      </c>
      <c r="D16" s="240" t="s">
        <v>253</v>
      </c>
      <c r="E16" s="225">
        <v>4.2500000000000003E-2</v>
      </c>
      <c r="F16" s="220"/>
      <c r="G16" s="146"/>
      <c r="H16" s="146"/>
    </row>
    <row r="17" spans="1:8" ht="13.8">
      <c r="A17" s="221" t="s">
        <v>84</v>
      </c>
      <c r="B17" s="488" t="s">
        <v>85</v>
      </c>
      <c r="C17" s="223">
        <v>0.02</v>
      </c>
      <c r="D17" s="282" t="s">
        <v>184</v>
      </c>
      <c r="E17" s="226">
        <v>10</v>
      </c>
      <c r="F17" s="227"/>
      <c r="G17" s="146"/>
      <c r="H17" s="146"/>
    </row>
    <row r="18" spans="1:8" ht="14.4" thickBot="1">
      <c r="A18" s="228" t="s">
        <v>324</v>
      </c>
      <c r="B18" s="489"/>
      <c r="C18" s="229">
        <v>3.6499999999999998E-2</v>
      </c>
      <c r="D18" s="203"/>
      <c r="E18" s="230"/>
      <c r="F18" s="227"/>
      <c r="G18" s="146"/>
      <c r="H18" s="146"/>
    </row>
    <row r="19" spans="1:8" ht="13.8">
      <c r="A19" s="231" t="s">
        <v>86</v>
      </c>
      <c r="B19" s="232"/>
      <c r="C19" s="233"/>
      <c r="D19" s="203"/>
      <c r="E19" s="230"/>
      <c r="F19" s="227"/>
      <c r="G19" s="146"/>
      <c r="H19" s="146"/>
    </row>
    <row r="20" spans="1:8" ht="14.4" thickBot="1">
      <c r="A20" s="234" t="s">
        <v>87</v>
      </c>
      <c r="B20" s="235"/>
      <c r="C20" s="236"/>
      <c r="D20" s="203"/>
      <c r="E20" s="230"/>
      <c r="F20" s="227"/>
      <c r="G20" s="146"/>
      <c r="H20" s="146"/>
    </row>
    <row r="21" spans="1:8" ht="14.4" thickBot="1">
      <c r="A21" s="237" t="s">
        <v>88</v>
      </c>
      <c r="B21" s="238"/>
      <c r="C21" s="239">
        <f>ROUND((((1+C13+C14)*(1+C15)*(1+C16))/(1-(C17+C18))-1),4)</f>
        <v>0.23619999999999999</v>
      </c>
      <c r="D21" s="243">
        <v>0.21429999999999999</v>
      </c>
      <c r="E21" s="244">
        <v>0.2717</v>
      </c>
      <c r="F21" s="245">
        <v>0.3362</v>
      </c>
      <c r="G21" s="146"/>
      <c r="H21" s="146"/>
    </row>
    <row r="22" spans="1:8" ht="13.8">
      <c r="A22" s="146"/>
      <c r="B22" s="146"/>
      <c r="C22" s="146"/>
      <c r="D22" s="146"/>
      <c r="E22" s="147"/>
      <c r="F22" s="146"/>
      <c r="G22" s="146"/>
      <c r="H22" s="146"/>
    </row>
    <row r="23" spans="1:8" ht="13.8">
      <c r="A23" s="146"/>
      <c r="B23" s="146"/>
      <c r="C23" s="146"/>
      <c r="D23" s="146"/>
      <c r="E23" s="147"/>
      <c r="F23" s="146"/>
      <c r="G23" s="146"/>
      <c r="H23" s="146"/>
    </row>
    <row r="24" spans="1:8" ht="13.8">
      <c r="A24" s="146"/>
      <c r="B24" s="146"/>
      <c r="C24" s="146"/>
      <c r="D24" s="146"/>
      <c r="E24" s="147"/>
      <c r="F24" s="146"/>
      <c r="G24" s="146"/>
      <c r="H24" s="146"/>
    </row>
    <row r="25" spans="1:8" ht="13.8">
      <c r="A25" s="146"/>
      <c r="B25" s="146"/>
      <c r="C25" s="146"/>
      <c r="D25" s="146"/>
      <c r="E25" s="147"/>
      <c r="F25" s="146"/>
      <c r="G25" s="146"/>
      <c r="H25" s="146"/>
    </row>
  </sheetData>
  <mergeCells count="3">
    <mergeCell ref="B17:B18"/>
    <mergeCell ref="D11:F11"/>
    <mergeCell ref="A9:F9"/>
  </mergeCells>
  <pageMargins left="0.90551181102362199" right="0.51181102362204722" top="0.74803149606299213" bottom="0.74803149606299213" header="0.31496062992125984" footer="0.31496062992125984"/>
  <pageSetup paperSize="9" orientation="portrait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A7" sqref="A7:B7"/>
    </sheetView>
  </sheetViews>
  <sheetFormatPr defaultColWidth="8.88671875" defaultRowHeight="14.4"/>
  <cols>
    <col min="1" max="1" width="14.109375" style="375" customWidth="1"/>
    <col min="2" max="2" width="24.6640625" style="375" customWidth="1"/>
    <col min="3" max="3" width="20.33203125" style="375" customWidth="1"/>
    <col min="4" max="4" width="14.109375" style="375" customWidth="1"/>
    <col min="5" max="16384" width="8.88671875" style="375"/>
  </cols>
  <sheetData>
    <row r="1" spans="1:4" ht="28.2" customHeight="1">
      <c r="A1" s="496" t="s">
        <v>523</v>
      </c>
      <c r="B1" s="496"/>
      <c r="C1" s="496"/>
    </row>
    <row r="2" spans="1:4" ht="7.2" customHeight="1"/>
    <row r="3" spans="1:4">
      <c r="A3" s="497" t="s">
        <v>520</v>
      </c>
      <c r="B3" s="498"/>
      <c r="C3" s="498"/>
      <c r="D3" s="499"/>
    </row>
    <row r="4" spans="1:4">
      <c r="A4" s="454" t="s">
        <v>275</v>
      </c>
      <c r="B4" s="454" t="s">
        <v>516</v>
      </c>
      <c r="C4" s="454" t="s">
        <v>517</v>
      </c>
      <c r="D4" s="454" t="s">
        <v>518</v>
      </c>
    </row>
    <row r="5" spans="1:4">
      <c r="A5" s="455">
        <v>1</v>
      </c>
      <c r="B5" s="456">
        <v>6922</v>
      </c>
      <c r="C5" s="457">
        <v>0.5</v>
      </c>
      <c r="D5" s="458">
        <f>B5*C5*30/1000</f>
        <v>103.83</v>
      </c>
    </row>
    <row r="6" spans="1:4" ht="10.199999999999999" customHeight="1">
      <c r="A6" s="459"/>
      <c r="B6" s="460"/>
      <c r="C6" s="461"/>
      <c r="D6" s="458"/>
    </row>
    <row r="7" spans="1:4">
      <c r="A7" s="500" t="s">
        <v>519</v>
      </c>
      <c r="B7" s="501"/>
      <c r="C7" s="462"/>
      <c r="D7" s="463">
        <f>D5*12</f>
        <v>1245.96</v>
      </c>
    </row>
    <row r="10" spans="1:4">
      <c r="D10" s="464"/>
    </row>
  </sheetData>
  <mergeCells count="3">
    <mergeCell ref="A1:C1"/>
    <mergeCell ref="A3:D3"/>
    <mergeCell ref="A7:B7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3"/>
  <sheetViews>
    <sheetView workbookViewId="0"/>
  </sheetViews>
  <sheetFormatPr defaultColWidth="8.88671875" defaultRowHeight="14.4"/>
  <cols>
    <col min="1" max="1" width="8.109375" style="298" customWidth="1"/>
    <col min="2" max="2" width="14" style="298" customWidth="1"/>
    <col min="3" max="3" width="20.33203125" style="298" customWidth="1"/>
    <col min="4" max="4" width="12.6640625" style="298" customWidth="1"/>
    <col min="5" max="5" width="8" style="298" bestFit="1" customWidth="1"/>
    <col min="6" max="6" width="6.88671875" style="298" customWidth="1"/>
    <col min="7" max="7" width="9.33203125" style="298" bestFit="1" customWidth="1"/>
    <col min="8" max="8" width="10.5546875" style="298" customWidth="1"/>
    <col min="9" max="19" width="0" style="298" hidden="1" customWidth="1"/>
    <col min="20" max="20" width="8.88671875" style="298"/>
    <col min="21" max="21" width="12" style="298" hidden="1" customWidth="1"/>
    <col min="22" max="25" width="0" style="298" hidden="1" customWidth="1"/>
    <col min="26" max="27" width="8.88671875" style="298"/>
    <col min="28" max="30" width="0" style="298" hidden="1" customWidth="1"/>
    <col min="31" max="16384" width="8.88671875" style="298"/>
  </cols>
  <sheetData>
    <row r="1" spans="1:30" ht="15.6">
      <c r="A1" s="320" t="s">
        <v>412</v>
      </c>
    </row>
    <row r="2" spans="1:30">
      <c r="A2" s="297" t="s">
        <v>410</v>
      </c>
    </row>
    <row r="3" spans="1:30">
      <c r="A3" s="297" t="s">
        <v>276</v>
      </c>
      <c r="N3" s="298">
        <v>7</v>
      </c>
      <c r="O3" s="298">
        <v>6</v>
      </c>
      <c r="P3" s="298">
        <f>N3*O3</f>
        <v>42</v>
      </c>
      <c r="R3" s="298">
        <v>7</v>
      </c>
      <c r="S3" s="298">
        <v>6</v>
      </c>
      <c r="U3" s="298">
        <f>R3*S3</f>
        <v>42</v>
      </c>
    </row>
    <row r="4" spans="1:30">
      <c r="A4" s="299" t="s">
        <v>277</v>
      </c>
      <c r="B4" s="299" t="s">
        <v>388</v>
      </c>
      <c r="C4" s="299" t="s">
        <v>279</v>
      </c>
      <c r="D4" s="299" t="s">
        <v>278</v>
      </c>
      <c r="E4" s="299" t="s">
        <v>280</v>
      </c>
      <c r="F4" s="299" t="s">
        <v>281</v>
      </c>
      <c r="G4" s="299" t="s">
        <v>383</v>
      </c>
      <c r="H4" s="299" t="s">
        <v>384</v>
      </c>
      <c r="V4" s="299" t="s">
        <v>407</v>
      </c>
    </row>
    <row r="5" spans="1:30">
      <c r="A5" s="300">
        <v>2</v>
      </c>
      <c r="B5" s="299" t="s">
        <v>387</v>
      </c>
      <c r="C5" s="299" t="s">
        <v>386</v>
      </c>
      <c r="D5" s="299" t="s">
        <v>75</v>
      </c>
      <c r="E5" s="301">
        <v>0.29166666666666669</v>
      </c>
      <c r="F5" s="301">
        <v>0.625</v>
      </c>
      <c r="G5" s="301">
        <v>0.29166666666666669</v>
      </c>
      <c r="H5" s="372">
        <f>A5*7*3</f>
        <v>42</v>
      </c>
      <c r="J5" s="298">
        <v>15</v>
      </c>
      <c r="K5" s="309">
        <v>12</v>
      </c>
      <c r="M5" s="298">
        <v>12</v>
      </c>
      <c r="N5" s="298">
        <v>5</v>
      </c>
      <c r="O5" s="298">
        <v>3</v>
      </c>
      <c r="P5" s="298">
        <f>N5*O5</f>
        <v>15</v>
      </c>
      <c r="R5" s="298">
        <v>5</v>
      </c>
      <c r="S5" s="298">
        <v>3</v>
      </c>
      <c r="U5" s="298">
        <f>R5*S5</f>
        <v>15</v>
      </c>
      <c r="V5" s="372">
        <f>7*3</f>
        <v>21</v>
      </c>
      <c r="Z5" s="453"/>
    </row>
    <row r="6" spans="1:30">
      <c r="A6" s="300">
        <v>1</v>
      </c>
      <c r="B6" s="299" t="s">
        <v>387</v>
      </c>
      <c r="C6" s="299" t="s">
        <v>386</v>
      </c>
      <c r="D6" s="299" t="s">
        <v>46</v>
      </c>
      <c r="E6" s="301">
        <v>0.29166666666666669</v>
      </c>
      <c r="F6" s="301">
        <v>0.625</v>
      </c>
      <c r="G6" s="301">
        <v>0.29166666666666669</v>
      </c>
      <c r="H6" s="372">
        <f>A6*7*3</f>
        <v>21</v>
      </c>
      <c r="K6" s="309"/>
      <c r="M6" s="298">
        <v>3</v>
      </c>
      <c r="P6" s="298" t="e">
        <f>#REF!*#REF!</f>
        <v>#REF!</v>
      </c>
      <c r="U6" s="298" t="e">
        <f>#REF!*#REF!</f>
        <v>#REF!</v>
      </c>
      <c r="V6" s="301"/>
      <c r="W6" s="298">
        <v>44</v>
      </c>
      <c r="X6" s="298" t="e">
        <f>#REF!/W6</f>
        <v>#REF!</v>
      </c>
    </row>
    <row r="7" spans="1:30">
      <c r="A7" s="300"/>
      <c r="B7" s="299"/>
      <c r="C7" s="299"/>
      <c r="D7" s="299"/>
      <c r="E7" s="301"/>
      <c r="F7" s="301"/>
      <c r="G7" s="301"/>
      <c r="H7" s="301"/>
      <c r="K7" s="309"/>
      <c r="V7" s="301"/>
    </row>
    <row r="8" spans="1:30" ht="10.95" customHeight="1">
      <c r="A8" s="300"/>
      <c r="B8" s="299"/>
      <c r="C8" s="299"/>
      <c r="D8" s="299"/>
      <c r="E8" s="301"/>
      <c r="F8" s="301"/>
      <c r="G8" s="301"/>
      <c r="H8" s="301"/>
      <c r="K8" s="309"/>
      <c r="M8" s="298" t="e">
        <f>#REF!/M6</f>
        <v>#REF!</v>
      </c>
      <c r="N8" s="298">
        <v>5</v>
      </c>
      <c r="O8" s="298">
        <v>3</v>
      </c>
      <c r="P8" s="298">
        <f>N8*O8</f>
        <v>15</v>
      </c>
      <c r="R8" s="298">
        <v>6</v>
      </c>
      <c r="S8" s="298">
        <v>2</v>
      </c>
      <c r="U8" s="298">
        <f>R8*S8</f>
        <v>12</v>
      </c>
      <c r="V8" s="301"/>
    </row>
    <row r="9" spans="1:30">
      <c r="A9" s="300">
        <v>2</v>
      </c>
      <c r="B9" s="299" t="s">
        <v>389</v>
      </c>
      <c r="C9" s="299" t="s">
        <v>391</v>
      </c>
      <c r="D9" s="299" t="s">
        <v>75</v>
      </c>
      <c r="E9" s="301">
        <v>0.29166666666666669</v>
      </c>
      <c r="F9" s="301">
        <v>0.58333333333333337</v>
      </c>
      <c r="G9" s="301">
        <v>0.25</v>
      </c>
      <c r="H9" s="372">
        <f>A9*6*2</f>
        <v>24</v>
      </c>
      <c r="J9" s="298" t="e">
        <f>J5+#REF!</f>
        <v>#REF!</v>
      </c>
      <c r="K9" s="309">
        <f>SUM(K5:K5)</f>
        <v>12</v>
      </c>
      <c r="P9" s="298" t="e">
        <f>P6+P8</f>
        <v>#REF!</v>
      </c>
      <c r="U9" s="298" t="e">
        <f>U6+U8</f>
        <v>#REF!</v>
      </c>
      <c r="V9" s="372">
        <f>7*2</f>
        <v>14</v>
      </c>
      <c r="AB9" s="297"/>
    </row>
    <row r="10" spans="1:30">
      <c r="A10" s="300">
        <v>1</v>
      </c>
      <c r="B10" s="299" t="s">
        <v>389</v>
      </c>
      <c r="C10" s="299" t="s">
        <v>391</v>
      </c>
      <c r="D10" s="299" t="s">
        <v>46</v>
      </c>
      <c r="E10" s="301">
        <v>0.29166666666666669</v>
      </c>
      <c r="F10" s="301">
        <v>0.58333333333333337</v>
      </c>
      <c r="G10" s="301">
        <v>0.25</v>
      </c>
      <c r="H10" s="372">
        <f>A10*6*2</f>
        <v>12</v>
      </c>
      <c r="K10" s="309"/>
      <c r="V10" s="372"/>
      <c r="AB10" s="297"/>
    </row>
    <row r="11" spans="1:30">
      <c r="A11" s="352">
        <v>2</v>
      </c>
      <c r="B11" s="328" t="s">
        <v>390</v>
      </c>
      <c r="C11" s="328" t="s">
        <v>524</v>
      </c>
      <c r="D11" s="299" t="s">
        <v>409</v>
      </c>
      <c r="E11" s="353">
        <v>0.58333333333333337</v>
      </c>
      <c r="F11" s="353">
        <v>0.79166666666666663</v>
      </c>
      <c r="G11" s="353">
        <v>0.20833333333333334</v>
      </c>
      <c r="H11" s="372">
        <f>A11*5*1</f>
        <v>10</v>
      </c>
      <c r="J11" s="298" t="e">
        <f>J9/4</f>
        <v>#REF!</v>
      </c>
      <c r="K11" s="365">
        <f>K9/2.5</f>
        <v>4.8</v>
      </c>
      <c r="P11" s="298" t="e">
        <f>P9/9</f>
        <v>#REF!</v>
      </c>
      <c r="U11" s="298" t="e">
        <f>U9/9</f>
        <v>#REF!</v>
      </c>
      <c r="V11" s="372">
        <v>6</v>
      </c>
      <c r="AB11" s="304"/>
      <c r="AC11" s="304"/>
      <c r="AD11" s="304"/>
    </row>
    <row r="12" spans="1:30">
      <c r="A12" s="352">
        <v>1</v>
      </c>
      <c r="B12" s="328" t="s">
        <v>390</v>
      </c>
      <c r="C12" s="328" t="s">
        <v>524</v>
      </c>
      <c r="D12" s="299" t="s">
        <v>46</v>
      </c>
      <c r="E12" s="353">
        <v>0.58333333333333337</v>
      </c>
      <c r="F12" s="353">
        <v>0.79166666666666663</v>
      </c>
      <c r="G12" s="353">
        <v>0.20833333333333334</v>
      </c>
      <c r="H12" s="372">
        <f>A12*5*1</f>
        <v>5</v>
      </c>
      <c r="K12" s="365"/>
      <c r="V12" s="372"/>
      <c r="AB12" s="304"/>
      <c r="AC12" s="304"/>
      <c r="AD12" s="304"/>
    </row>
    <row r="13" spans="1:30">
      <c r="A13" s="300">
        <v>2</v>
      </c>
      <c r="B13" s="299" t="s">
        <v>512</v>
      </c>
      <c r="C13" s="299" t="s">
        <v>374</v>
      </c>
      <c r="D13" s="299" t="s">
        <v>409</v>
      </c>
      <c r="E13" s="301">
        <v>0.29166666666666669</v>
      </c>
      <c r="F13" s="301">
        <v>0.39583333333333331</v>
      </c>
      <c r="G13" s="301">
        <v>0.10416666666666667</v>
      </c>
      <c r="H13" s="372">
        <f>A13*2.5*1</f>
        <v>5</v>
      </c>
      <c r="V13" s="372"/>
      <c r="Y13" s="384"/>
      <c r="AB13" s="304"/>
      <c r="AC13" s="304"/>
      <c r="AD13" s="304"/>
    </row>
    <row r="14" spans="1:30">
      <c r="A14" s="352">
        <v>1</v>
      </c>
      <c r="B14" s="328" t="s">
        <v>512</v>
      </c>
      <c r="C14" s="328" t="s">
        <v>374</v>
      </c>
      <c r="D14" s="299" t="s">
        <v>46</v>
      </c>
      <c r="E14" s="301">
        <v>0.29166666666666669</v>
      </c>
      <c r="F14" s="301">
        <v>0.39583333333333331</v>
      </c>
      <c r="G14" s="301">
        <v>0.10416666666666667</v>
      </c>
      <c r="H14" s="372">
        <f>A14*2.5*1</f>
        <v>2.5</v>
      </c>
      <c r="V14" s="372"/>
      <c r="Y14" s="384"/>
      <c r="AB14" s="304"/>
      <c r="AC14" s="304"/>
      <c r="AD14" s="304"/>
    </row>
    <row r="15" spans="1:30">
      <c r="A15" s="299"/>
      <c r="B15" s="299"/>
      <c r="C15" s="299"/>
      <c r="D15" s="299"/>
      <c r="E15" s="299"/>
      <c r="F15" s="299"/>
      <c r="G15" s="299"/>
      <c r="H15" s="299"/>
      <c r="P15" s="298" t="e">
        <f>P11/#REF!</f>
        <v>#REF!</v>
      </c>
      <c r="U15" s="298" t="e">
        <f>U11/#REF!</f>
        <v>#REF!</v>
      </c>
      <c r="V15" s="304"/>
      <c r="W15" s="298">
        <v>44</v>
      </c>
      <c r="X15" s="298" t="e">
        <f>#REF!/W15</f>
        <v>#REF!</v>
      </c>
      <c r="AB15" s="304"/>
      <c r="AC15" s="304"/>
      <c r="AD15" s="304"/>
    </row>
    <row r="16" spans="1:30">
      <c r="I16" s="309"/>
      <c r="J16" s="309"/>
      <c r="M16" s="309"/>
      <c r="AB16" s="304"/>
      <c r="AC16" s="389"/>
      <c r="AD16" s="388"/>
    </row>
    <row r="17" spans="1:30">
      <c r="A17" s="297" t="s">
        <v>411</v>
      </c>
    </row>
    <row r="18" spans="1:30">
      <c r="A18" s="302" t="s">
        <v>282</v>
      </c>
      <c r="B18" s="303"/>
      <c r="C18" s="303"/>
      <c r="D18" s="303"/>
      <c r="E18" s="303"/>
      <c r="F18" s="303"/>
      <c r="G18" s="304">
        <v>7</v>
      </c>
      <c r="AB18" s="385"/>
      <c r="AC18" s="390"/>
      <c r="AD18" s="390"/>
    </row>
    <row r="19" spans="1:30">
      <c r="A19" s="305" t="s">
        <v>283</v>
      </c>
      <c r="B19" s="303"/>
      <c r="C19" s="303"/>
      <c r="D19" s="303"/>
      <c r="E19" s="303"/>
      <c r="F19" s="303"/>
      <c r="G19" s="304">
        <v>3</v>
      </c>
    </row>
    <row r="20" spans="1:30">
      <c r="A20" s="302" t="s">
        <v>284</v>
      </c>
      <c r="B20" s="303"/>
      <c r="C20" s="303"/>
      <c r="D20" s="303"/>
      <c r="E20" s="303"/>
      <c r="F20" s="303"/>
      <c r="G20" s="304">
        <f>G18*G19</f>
        <v>21</v>
      </c>
    </row>
    <row r="21" spans="1:30">
      <c r="A21" s="302" t="s">
        <v>285</v>
      </c>
      <c r="B21" s="303"/>
      <c r="C21" s="303"/>
      <c r="D21" s="303"/>
      <c r="E21" s="303"/>
      <c r="F21" s="303"/>
      <c r="G21" s="304">
        <v>6</v>
      </c>
    </row>
    <row r="22" spans="1:30">
      <c r="A22" s="302" t="s">
        <v>286</v>
      </c>
      <c r="B22" s="303"/>
      <c r="C22" s="303"/>
      <c r="D22" s="303"/>
      <c r="E22" s="303"/>
      <c r="F22" s="303"/>
      <c r="G22" s="304">
        <v>7</v>
      </c>
    </row>
    <row r="23" spans="1:30">
      <c r="A23" s="302" t="s">
        <v>287</v>
      </c>
      <c r="B23" s="303"/>
      <c r="C23" s="303"/>
      <c r="D23" s="303"/>
      <c r="E23" s="303"/>
      <c r="F23" s="303"/>
      <c r="G23" s="314">
        <f>G20/G21</f>
        <v>3.5</v>
      </c>
    </row>
    <row r="24" spans="1:30">
      <c r="A24" s="302" t="s">
        <v>288</v>
      </c>
      <c r="B24" s="303"/>
      <c r="C24" s="303"/>
      <c r="D24" s="303"/>
      <c r="E24" s="303"/>
      <c r="F24" s="303"/>
      <c r="G24" s="304">
        <v>30</v>
      </c>
    </row>
    <row r="25" spans="1:30">
      <c r="A25" s="306" t="s">
        <v>289</v>
      </c>
      <c r="B25" s="307"/>
      <c r="C25" s="307"/>
      <c r="D25" s="307"/>
      <c r="E25" s="307"/>
      <c r="F25" s="307"/>
      <c r="G25" s="299">
        <f>G23*G24</f>
        <v>105</v>
      </c>
    </row>
    <row r="26" spans="1:30">
      <c r="A26" s="306" t="s">
        <v>291</v>
      </c>
      <c r="B26" s="307"/>
      <c r="C26" s="307"/>
      <c r="D26" s="307"/>
      <c r="E26" s="307"/>
      <c r="F26" s="307"/>
      <c r="G26" s="299">
        <v>220</v>
      </c>
    </row>
    <row r="27" spans="1:30">
      <c r="A27" s="306" t="s">
        <v>292</v>
      </c>
      <c r="B27" s="307"/>
      <c r="C27" s="307"/>
      <c r="D27" s="307"/>
      <c r="E27" s="307"/>
      <c r="F27" s="307"/>
      <c r="G27" s="308">
        <f>G25/G26</f>
        <v>0.47727272727272729</v>
      </c>
    </row>
    <row r="29" spans="1:30" hidden="1">
      <c r="A29" s="297" t="s">
        <v>323</v>
      </c>
    </row>
    <row r="30" spans="1:30" hidden="1">
      <c r="A30" s="302" t="s">
        <v>290</v>
      </c>
      <c r="B30" s="303"/>
      <c r="C30" s="303"/>
      <c r="D30" s="303"/>
      <c r="E30" s="303"/>
      <c r="F30" s="303"/>
      <c r="G30" s="304">
        <v>0</v>
      </c>
    </row>
    <row r="31" spans="1:30" hidden="1">
      <c r="A31" s="305" t="s">
        <v>283</v>
      </c>
      <c r="B31" s="303"/>
      <c r="C31" s="303"/>
      <c r="D31" s="303"/>
      <c r="E31" s="303"/>
      <c r="F31" s="303"/>
      <c r="G31" s="304">
        <v>4</v>
      </c>
    </row>
    <row r="32" spans="1:30" hidden="1">
      <c r="A32" s="302" t="s">
        <v>284</v>
      </c>
      <c r="B32" s="303"/>
      <c r="C32" s="303"/>
      <c r="D32" s="303"/>
      <c r="E32" s="303"/>
      <c r="F32" s="303"/>
      <c r="G32" s="304">
        <f>G30*G31</f>
        <v>0</v>
      </c>
    </row>
    <row r="33" spans="1:9" hidden="1">
      <c r="A33" s="302" t="s">
        <v>285</v>
      </c>
      <c r="B33" s="303"/>
      <c r="C33" s="303"/>
      <c r="D33" s="303"/>
      <c r="E33" s="303"/>
      <c r="F33" s="303"/>
      <c r="G33" s="304">
        <v>6</v>
      </c>
    </row>
    <row r="34" spans="1:9" hidden="1">
      <c r="A34" s="302" t="s">
        <v>286</v>
      </c>
      <c r="B34" s="303"/>
      <c r="C34" s="303"/>
      <c r="D34" s="303"/>
      <c r="E34" s="303"/>
      <c r="F34" s="303"/>
      <c r="G34" s="304">
        <v>7</v>
      </c>
    </row>
    <row r="35" spans="1:9" hidden="1">
      <c r="A35" s="302" t="s">
        <v>287</v>
      </c>
      <c r="B35" s="303"/>
      <c r="C35" s="303"/>
      <c r="D35" s="303"/>
      <c r="E35" s="303"/>
      <c r="F35" s="303"/>
      <c r="G35" s="314">
        <f>G32/G33</f>
        <v>0</v>
      </c>
    </row>
    <row r="36" spans="1:9" hidden="1">
      <c r="A36" s="302" t="s">
        <v>288</v>
      </c>
      <c r="B36" s="303"/>
      <c r="C36" s="303"/>
      <c r="D36" s="303"/>
      <c r="E36" s="303"/>
      <c r="F36" s="303"/>
      <c r="G36" s="304">
        <v>30</v>
      </c>
    </row>
    <row r="37" spans="1:9" hidden="1">
      <c r="A37" s="306" t="s">
        <v>289</v>
      </c>
      <c r="B37" s="307"/>
      <c r="C37" s="307"/>
      <c r="D37" s="307"/>
      <c r="E37" s="307"/>
      <c r="F37" s="307"/>
      <c r="G37" s="316">
        <f>G35*G36</f>
        <v>0</v>
      </c>
    </row>
    <row r="38" spans="1:9" hidden="1">
      <c r="A38" s="306" t="s">
        <v>291</v>
      </c>
      <c r="B38" s="307"/>
      <c r="C38" s="307"/>
      <c r="D38" s="307"/>
      <c r="E38" s="307"/>
      <c r="F38" s="307"/>
      <c r="G38" s="299">
        <v>220</v>
      </c>
    </row>
    <row r="39" spans="1:9" hidden="1">
      <c r="A39" s="306" t="s">
        <v>292</v>
      </c>
      <c r="B39" s="307"/>
      <c r="C39" s="307"/>
      <c r="D39" s="307"/>
      <c r="E39" s="307"/>
      <c r="F39" s="307"/>
      <c r="G39" s="308">
        <f>G37/G38</f>
        <v>0</v>
      </c>
    </row>
    <row r="40" spans="1:9" hidden="1"/>
    <row r="41" spans="1:9">
      <c r="A41" s="297" t="s">
        <v>513</v>
      </c>
    </row>
    <row r="42" spans="1:9">
      <c r="A42" s="302" t="s">
        <v>282</v>
      </c>
      <c r="B42" s="303"/>
      <c r="C42" s="303"/>
      <c r="D42" s="303"/>
      <c r="E42" s="303"/>
      <c r="F42" s="303"/>
      <c r="G42" s="304">
        <v>6.0830000000000002</v>
      </c>
    </row>
    <row r="43" spans="1:9">
      <c r="A43" s="305" t="s">
        <v>283</v>
      </c>
      <c r="B43" s="303"/>
      <c r="C43" s="303"/>
      <c r="D43" s="303"/>
      <c r="E43" s="303"/>
      <c r="F43" s="303"/>
      <c r="G43" s="304">
        <v>3</v>
      </c>
    </row>
    <row r="44" spans="1:9">
      <c r="A44" s="302" t="s">
        <v>284</v>
      </c>
      <c r="B44" s="303"/>
      <c r="C44" s="303"/>
      <c r="D44" s="303"/>
      <c r="E44" s="303"/>
      <c r="F44" s="303"/>
      <c r="G44" s="304">
        <f>G42*G43</f>
        <v>18.249000000000002</v>
      </c>
      <c r="I44" s="354"/>
    </row>
    <row r="45" spans="1:9">
      <c r="A45" s="302" t="s">
        <v>285</v>
      </c>
      <c r="B45" s="303"/>
      <c r="C45" s="303"/>
      <c r="D45" s="303"/>
      <c r="E45" s="303"/>
      <c r="F45" s="303"/>
      <c r="G45" s="304">
        <v>6</v>
      </c>
    </row>
    <row r="46" spans="1:9">
      <c r="A46" s="302" t="s">
        <v>286</v>
      </c>
      <c r="B46" s="303"/>
      <c r="C46" s="303"/>
      <c r="D46" s="303"/>
      <c r="E46" s="303"/>
      <c r="F46" s="303"/>
      <c r="G46" s="304">
        <v>7</v>
      </c>
    </row>
    <row r="47" spans="1:9">
      <c r="A47" s="302" t="s">
        <v>287</v>
      </c>
      <c r="B47" s="303"/>
      <c r="C47" s="303"/>
      <c r="D47" s="303"/>
      <c r="E47" s="303"/>
      <c r="F47" s="303"/>
      <c r="G47" s="314">
        <f>G44/G45</f>
        <v>3.0415000000000005</v>
      </c>
    </row>
    <row r="48" spans="1:9">
      <c r="A48" s="302" t="s">
        <v>288</v>
      </c>
      <c r="B48" s="303"/>
      <c r="C48" s="303"/>
      <c r="D48" s="303"/>
      <c r="E48" s="303"/>
      <c r="F48" s="303"/>
      <c r="G48" s="304">
        <v>30</v>
      </c>
    </row>
    <row r="49" spans="1:7">
      <c r="A49" s="306" t="s">
        <v>289</v>
      </c>
      <c r="B49" s="307"/>
      <c r="C49" s="307"/>
      <c r="D49" s="307"/>
      <c r="E49" s="307"/>
      <c r="F49" s="307"/>
      <c r="G49" s="299">
        <f>G47*G48</f>
        <v>91.245000000000019</v>
      </c>
    </row>
    <row r="50" spans="1:7">
      <c r="A50" s="306" t="s">
        <v>291</v>
      </c>
      <c r="B50" s="307"/>
      <c r="C50" s="307"/>
      <c r="D50" s="307"/>
      <c r="E50" s="307"/>
      <c r="F50" s="307"/>
      <c r="G50" s="299">
        <v>220</v>
      </c>
    </row>
    <row r="51" spans="1:7">
      <c r="A51" s="306" t="s">
        <v>292</v>
      </c>
      <c r="B51" s="307"/>
      <c r="C51" s="307"/>
      <c r="D51" s="307"/>
      <c r="E51" s="307"/>
      <c r="F51" s="307"/>
      <c r="G51" s="308">
        <f>G49/G50</f>
        <v>0.41475000000000006</v>
      </c>
    </row>
    <row r="52" spans="1:7">
      <c r="A52" s="386"/>
      <c r="B52" s="386"/>
      <c r="C52" s="386"/>
      <c r="D52" s="386"/>
      <c r="E52" s="386"/>
      <c r="F52" s="386"/>
      <c r="G52" s="387"/>
    </row>
    <row r="53" spans="1:7">
      <c r="A53" s="386"/>
      <c r="B53" s="386"/>
      <c r="C53" s="386"/>
      <c r="D53" s="386"/>
      <c r="E53" s="386"/>
      <c r="F53" s="386"/>
      <c r="G53" s="387"/>
    </row>
  </sheetData>
  <pageMargins left="0.51181102362204722" right="0.51181102362204722" top="0.78740157480314965" bottom="0.78740157480314965" header="0.31496062992125984" footer="0.31496062992125984"/>
  <pageSetup paperSize="9" scale="79" orientation="portrait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88"/>
  <sheetViews>
    <sheetView workbookViewId="0">
      <selection activeCell="C9" sqref="C9"/>
    </sheetView>
  </sheetViews>
  <sheetFormatPr defaultRowHeight="13.2"/>
  <cols>
    <col min="1" max="1" width="6.5546875" customWidth="1"/>
    <col min="2" max="2" width="17.5546875" customWidth="1"/>
    <col min="3" max="3" width="12" customWidth="1"/>
    <col min="4" max="4" width="16.33203125" customWidth="1"/>
    <col min="5" max="5" width="13.109375" customWidth="1"/>
    <col min="6" max="6" width="8" customWidth="1"/>
    <col min="7" max="7" width="10" style="391" customWidth="1"/>
    <col min="8" max="8" width="14.109375" customWidth="1"/>
    <col min="9" max="9" width="12.6640625" customWidth="1"/>
    <col min="10" max="10" width="21.44140625" customWidth="1"/>
    <col min="11" max="11" width="11.6640625" customWidth="1"/>
    <col min="12" max="12" width="8" customWidth="1"/>
    <col min="13" max="13" width="5.5546875" customWidth="1"/>
    <col min="14" max="14" width="7.44140625" customWidth="1"/>
    <col min="15" max="15" width="29.6640625" customWidth="1"/>
    <col min="16" max="16" width="6.5546875" customWidth="1"/>
    <col min="17" max="17" width="5.6640625" customWidth="1"/>
    <col min="18" max="18" width="17.109375" customWidth="1"/>
    <col min="19" max="19" width="7.44140625" customWidth="1"/>
    <col min="24" max="24" width="33.5546875" bestFit="1" customWidth="1"/>
  </cols>
  <sheetData>
    <row r="1" spans="1:20" ht="13.8" thickBot="1">
      <c r="H1" s="346"/>
      <c r="I1" s="346"/>
      <c r="K1" s="391"/>
    </row>
    <row r="2" spans="1:20" ht="15" thickBot="1">
      <c r="B2" s="531" t="s">
        <v>349</v>
      </c>
      <c r="C2" s="532"/>
      <c r="D2" s="532"/>
      <c r="E2" s="532"/>
      <c r="F2" s="533"/>
      <c r="H2" s="531" t="s">
        <v>368</v>
      </c>
      <c r="I2" s="532"/>
      <c r="J2" s="532"/>
      <c r="K2" s="532"/>
      <c r="L2" s="533"/>
      <c r="M2" s="392"/>
      <c r="N2" s="570" t="s">
        <v>369</v>
      </c>
      <c r="O2" s="571"/>
      <c r="P2" s="571"/>
      <c r="Q2" s="571"/>
      <c r="R2" s="571"/>
      <c r="S2" s="572"/>
    </row>
    <row r="3" spans="1:20" ht="13.8" thickBot="1">
      <c r="A3" s="346"/>
      <c r="B3" s="513"/>
      <c r="C3" s="514"/>
      <c r="D3" s="514"/>
      <c r="E3" s="514"/>
      <c r="F3" s="515"/>
      <c r="G3" s="393"/>
      <c r="H3" s="513"/>
      <c r="I3" s="514"/>
      <c r="J3" s="514"/>
      <c r="K3" s="514"/>
      <c r="L3" s="515"/>
      <c r="M3" s="392"/>
      <c r="N3" s="573"/>
      <c r="O3" s="574"/>
      <c r="P3" s="574"/>
      <c r="Q3" s="574"/>
      <c r="R3" s="574"/>
      <c r="S3" s="575"/>
    </row>
    <row r="4" spans="1:20" ht="15" thickBot="1">
      <c r="B4" s="502" t="s">
        <v>414</v>
      </c>
      <c r="C4" s="503"/>
      <c r="D4" s="503"/>
      <c r="E4" s="503"/>
      <c r="F4" s="504"/>
      <c r="G4" s="393"/>
      <c r="H4" s="531" t="s">
        <v>415</v>
      </c>
      <c r="I4" s="532"/>
      <c r="J4" s="532"/>
      <c r="K4" s="532"/>
      <c r="L4" s="533"/>
      <c r="M4" s="394"/>
      <c r="N4" s="576" t="s">
        <v>350</v>
      </c>
      <c r="O4" s="577"/>
      <c r="P4" s="577"/>
      <c r="Q4" s="577"/>
      <c r="R4" s="577"/>
      <c r="S4" s="578"/>
    </row>
    <row r="5" spans="1:20" ht="14.4">
      <c r="B5" s="505" t="s">
        <v>416</v>
      </c>
      <c r="C5" s="506"/>
      <c r="D5" s="506"/>
      <c r="E5" s="506"/>
      <c r="F5" s="507"/>
      <c r="G5" s="393"/>
      <c r="H5" s="534" t="s">
        <v>417</v>
      </c>
      <c r="I5" s="535"/>
      <c r="J5" s="535"/>
      <c r="K5" s="535"/>
      <c r="L5" s="536"/>
      <c r="M5" s="394"/>
      <c r="N5" s="568" t="s">
        <v>351</v>
      </c>
      <c r="O5" s="545" t="s">
        <v>315</v>
      </c>
      <c r="P5" s="545" t="s">
        <v>418</v>
      </c>
      <c r="Q5" s="545"/>
      <c r="R5" s="545" t="s">
        <v>352</v>
      </c>
      <c r="S5" s="569" t="s">
        <v>294</v>
      </c>
    </row>
    <row r="6" spans="1:20">
      <c r="A6" s="121"/>
      <c r="B6" s="395" t="s">
        <v>316</v>
      </c>
      <c r="C6" s="330" t="s">
        <v>295</v>
      </c>
      <c r="D6" s="330" t="s">
        <v>296</v>
      </c>
      <c r="E6" s="330" t="s">
        <v>293</v>
      </c>
      <c r="F6" s="396" t="s">
        <v>252</v>
      </c>
      <c r="G6" s="393"/>
      <c r="H6" s="525" t="s">
        <v>419</v>
      </c>
      <c r="I6" s="526"/>
      <c r="J6" s="527"/>
      <c r="K6" s="397">
        <v>2</v>
      </c>
      <c r="L6" s="398" t="s">
        <v>18</v>
      </c>
      <c r="M6" s="394"/>
      <c r="N6" s="542"/>
      <c r="O6" s="544"/>
      <c r="P6" s="546"/>
      <c r="Q6" s="546"/>
      <c r="R6" s="544"/>
      <c r="S6" s="548"/>
      <c r="T6" s="121"/>
    </row>
    <row r="7" spans="1:20">
      <c r="A7" s="121"/>
      <c r="B7" s="395" t="s">
        <v>298</v>
      </c>
      <c r="C7" s="330" t="s">
        <v>420</v>
      </c>
      <c r="D7" s="399" t="s">
        <v>299</v>
      </c>
      <c r="E7" s="383">
        <v>2749.82</v>
      </c>
      <c r="F7" s="400" t="s">
        <v>297</v>
      </c>
      <c r="G7" s="401"/>
      <c r="H7" s="525" t="s">
        <v>421</v>
      </c>
      <c r="I7" s="526"/>
      <c r="J7" s="527"/>
      <c r="K7" s="402">
        <f>E16</f>
        <v>44.516557200000001</v>
      </c>
      <c r="L7" s="398" t="s">
        <v>18</v>
      </c>
      <c r="M7" s="394"/>
      <c r="N7" s="403" t="s">
        <v>353</v>
      </c>
      <c r="O7" s="404" t="s">
        <v>375</v>
      </c>
      <c r="P7" s="405">
        <v>3</v>
      </c>
      <c r="Q7" s="406" t="s">
        <v>317</v>
      </c>
      <c r="R7" s="407">
        <f>K10</f>
        <v>71.816557200000005</v>
      </c>
      <c r="S7" s="408" t="s">
        <v>18</v>
      </c>
      <c r="T7" s="121"/>
    </row>
    <row r="8" spans="1:20" ht="13.8" thickBot="1">
      <c r="B8" s="395" t="s">
        <v>300</v>
      </c>
      <c r="C8" s="330" t="s">
        <v>422</v>
      </c>
      <c r="D8" s="399" t="s">
        <v>301</v>
      </c>
      <c r="E8" s="383">
        <v>8993.5804000000007</v>
      </c>
      <c r="F8" s="400" t="s">
        <v>297</v>
      </c>
      <c r="G8" s="401"/>
      <c r="H8" s="525" t="s">
        <v>423</v>
      </c>
      <c r="I8" s="526"/>
      <c r="J8" s="527"/>
      <c r="K8" s="383">
        <v>3.3</v>
      </c>
      <c r="L8" s="398" t="s">
        <v>18</v>
      </c>
      <c r="M8" s="409"/>
      <c r="N8" s="559"/>
      <c r="O8" s="560"/>
      <c r="P8" s="560"/>
      <c r="Q8" s="560"/>
      <c r="R8" s="560"/>
      <c r="S8" s="561"/>
    </row>
    <row r="9" spans="1:20" ht="14.4">
      <c r="B9" s="395" t="s">
        <v>302</v>
      </c>
      <c r="C9" s="330" t="s">
        <v>424</v>
      </c>
      <c r="D9" s="399" t="s">
        <v>303</v>
      </c>
      <c r="E9" s="383">
        <v>9482.0053000000007</v>
      </c>
      <c r="F9" s="400" t="s">
        <v>297</v>
      </c>
      <c r="G9" s="401"/>
      <c r="H9" s="525" t="s">
        <v>425</v>
      </c>
      <c r="I9" s="526"/>
      <c r="J9" s="527"/>
      <c r="K9" s="383">
        <v>22</v>
      </c>
      <c r="L9" s="398" t="s">
        <v>18</v>
      </c>
      <c r="M9" s="394"/>
      <c r="N9" s="562" t="s">
        <v>318</v>
      </c>
      <c r="O9" s="563"/>
      <c r="P9" s="563"/>
      <c r="Q9" s="564"/>
      <c r="R9" s="410">
        <f>(R7*P7)</f>
        <v>215.44967160000002</v>
      </c>
      <c r="S9" s="411" t="s">
        <v>319</v>
      </c>
    </row>
    <row r="10" spans="1:20" ht="15" thickBot="1">
      <c r="B10" s="395" t="s">
        <v>304</v>
      </c>
      <c r="C10" s="330" t="s">
        <v>426</v>
      </c>
      <c r="D10" s="399" t="s">
        <v>305</v>
      </c>
      <c r="E10" s="383">
        <v>4333.9867000000004</v>
      </c>
      <c r="F10" s="400" t="s">
        <v>297</v>
      </c>
      <c r="G10" s="401"/>
      <c r="H10" s="528" t="s">
        <v>354</v>
      </c>
      <c r="I10" s="529"/>
      <c r="J10" s="530"/>
      <c r="K10" s="412">
        <f>SUM(K6:K9)</f>
        <v>71.816557200000005</v>
      </c>
      <c r="L10" s="413" t="s">
        <v>18</v>
      </c>
      <c r="M10" s="394"/>
      <c r="N10" s="565" t="s">
        <v>320</v>
      </c>
      <c r="O10" s="566"/>
      <c r="P10" s="566"/>
      <c r="Q10" s="567"/>
      <c r="R10" s="414">
        <f>((R9/7)*30)</f>
        <v>923.35573542857151</v>
      </c>
      <c r="S10" s="415" t="s">
        <v>319</v>
      </c>
    </row>
    <row r="11" spans="1:20">
      <c r="B11" s="395" t="s">
        <v>306</v>
      </c>
      <c r="C11" s="330" t="s">
        <v>427</v>
      </c>
      <c r="D11" s="399" t="s">
        <v>307</v>
      </c>
      <c r="E11" s="383">
        <v>5405</v>
      </c>
      <c r="F11" s="400" t="s">
        <v>297</v>
      </c>
      <c r="G11" s="401"/>
      <c r="H11" s="516"/>
      <c r="I11" s="517"/>
      <c r="J11" s="517"/>
      <c r="K11" s="517"/>
      <c r="L11" s="518"/>
      <c r="M11" s="416"/>
      <c r="N11" s="553"/>
      <c r="O11" s="554"/>
      <c r="P11" s="554"/>
      <c r="Q11" s="554"/>
      <c r="R11" s="554"/>
      <c r="S11" s="555"/>
    </row>
    <row r="12" spans="1:20" ht="15" thickBot="1">
      <c r="B12" s="395" t="s">
        <v>308</v>
      </c>
      <c r="C12" s="330" t="s">
        <v>428</v>
      </c>
      <c r="D12" s="399" t="s">
        <v>309</v>
      </c>
      <c r="E12" s="383">
        <v>3554.5821999999998</v>
      </c>
      <c r="F12" s="400" t="s">
        <v>297</v>
      </c>
      <c r="G12" s="401"/>
      <c r="H12" s="522"/>
      <c r="I12" s="523"/>
      <c r="J12" s="523"/>
      <c r="K12" s="523"/>
      <c r="L12" s="524"/>
      <c r="M12" s="417"/>
      <c r="N12" s="556"/>
      <c r="O12" s="557"/>
      <c r="P12" s="557"/>
      <c r="Q12" s="557"/>
      <c r="R12" s="557"/>
      <c r="S12" s="558"/>
    </row>
    <row r="13" spans="1:20" ht="15" thickBot="1">
      <c r="B13" s="395" t="s">
        <v>310</v>
      </c>
      <c r="C13" s="330" t="s">
        <v>429</v>
      </c>
      <c r="D13" s="399" t="s">
        <v>311</v>
      </c>
      <c r="E13" s="383">
        <v>3530.3207000000002</v>
      </c>
      <c r="F13" s="400" t="s">
        <v>297</v>
      </c>
      <c r="G13" s="401"/>
      <c r="H13" s="531" t="s">
        <v>430</v>
      </c>
      <c r="I13" s="532"/>
      <c r="J13" s="532"/>
      <c r="K13" s="532"/>
      <c r="L13" s="533"/>
      <c r="M13" s="417"/>
      <c r="N13" s="510" t="s">
        <v>445</v>
      </c>
      <c r="O13" s="511"/>
      <c r="P13" s="511"/>
      <c r="Q13" s="511"/>
      <c r="R13" s="511"/>
      <c r="S13" s="512"/>
    </row>
    <row r="14" spans="1:20" ht="15" customHeight="1">
      <c r="B14" s="395" t="s">
        <v>312</v>
      </c>
      <c r="C14" s="330" t="s">
        <v>431</v>
      </c>
      <c r="D14" s="399" t="s">
        <v>321</v>
      </c>
      <c r="E14" s="383">
        <v>3542.8899000000001</v>
      </c>
      <c r="F14" s="400" t="s">
        <v>297</v>
      </c>
      <c r="G14" s="401"/>
      <c r="H14" s="534" t="s">
        <v>356</v>
      </c>
      <c r="I14" s="535"/>
      <c r="J14" s="535"/>
      <c r="K14" s="535"/>
      <c r="L14" s="536"/>
      <c r="M14" s="418"/>
      <c r="N14" s="541" t="s">
        <v>351</v>
      </c>
      <c r="O14" s="543" t="s">
        <v>315</v>
      </c>
      <c r="P14" s="545" t="s">
        <v>418</v>
      </c>
      <c r="Q14" s="545"/>
      <c r="R14" s="543" t="s">
        <v>352</v>
      </c>
      <c r="S14" s="547" t="s">
        <v>294</v>
      </c>
    </row>
    <row r="15" spans="1:20" ht="15" customHeight="1">
      <c r="B15" s="395" t="s">
        <v>313</v>
      </c>
      <c r="C15" s="330" t="s">
        <v>432</v>
      </c>
      <c r="D15" s="399" t="s">
        <v>322</v>
      </c>
      <c r="E15" s="383">
        <v>2924.3719999999998</v>
      </c>
      <c r="F15" s="400" t="s">
        <v>297</v>
      </c>
      <c r="G15" s="401"/>
      <c r="H15" s="525" t="s">
        <v>419</v>
      </c>
      <c r="I15" s="526"/>
      <c r="J15" s="527"/>
      <c r="K15" s="397">
        <v>2</v>
      </c>
      <c r="L15" s="398" t="s">
        <v>18</v>
      </c>
      <c r="M15" s="418"/>
      <c r="N15" s="542"/>
      <c r="O15" s="544"/>
      <c r="P15" s="546"/>
      <c r="Q15" s="546"/>
      <c r="R15" s="544"/>
      <c r="S15" s="548"/>
    </row>
    <row r="16" spans="1:20" ht="15.75" customHeight="1" thickBot="1">
      <c r="B16" s="508" t="s">
        <v>314</v>
      </c>
      <c r="C16" s="509"/>
      <c r="D16" s="509"/>
      <c r="E16" s="419">
        <f>SUM(E7:E15)/1000</f>
        <v>44.516557200000001</v>
      </c>
      <c r="F16" s="420" t="s">
        <v>18</v>
      </c>
      <c r="G16" s="401"/>
      <c r="H16" s="525" t="s">
        <v>421</v>
      </c>
      <c r="I16" s="526"/>
      <c r="J16" s="527"/>
      <c r="K16" s="402">
        <f>E30</f>
        <v>51.01392160000001</v>
      </c>
      <c r="L16" s="398" t="s">
        <v>18</v>
      </c>
      <c r="M16" s="418"/>
      <c r="N16" s="403" t="s">
        <v>353</v>
      </c>
      <c r="O16" s="404" t="s">
        <v>433</v>
      </c>
      <c r="P16" s="405">
        <v>1</v>
      </c>
      <c r="Q16" s="406" t="s">
        <v>317</v>
      </c>
      <c r="R16" s="407">
        <f>K10</f>
        <v>71.816557200000005</v>
      </c>
      <c r="S16" s="408" t="s">
        <v>18</v>
      </c>
    </row>
    <row r="17" spans="2:26" ht="13.8" thickBot="1">
      <c r="B17" s="421"/>
      <c r="C17" s="422"/>
      <c r="D17" s="422"/>
      <c r="E17" s="422"/>
      <c r="F17" s="423"/>
      <c r="G17" s="401"/>
      <c r="H17" s="525" t="s">
        <v>423</v>
      </c>
      <c r="I17" s="526"/>
      <c r="J17" s="527"/>
      <c r="K17" s="383">
        <v>3.3</v>
      </c>
      <c r="L17" s="398" t="s">
        <v>18</v>
      </c>
      <c r="M17" s="418"/>
      <c r="N17" s="537"/>
      <c r="O17" s="538"/>
      <c r="P17" s="539"/>
      <c r="Q17" s="539"/>
      <c r="R17" s="538"/>
      <c r="S17" s="540"/>
    </row>
    <row r="18" spans="2:26" ht="15" thickBot="1">
      <c r="B18" s="502" t="s">
        <v>355</v>
      </c>
      <c r="C18" s="503"/>
      <c r="D18" s="503"/>
      <c r="E18" s="503"/>
      <c r="F18" s="504"/>
      <c r="G18" s="401"/>
      <c r="H18" s="525" t="s">
        <v>425</v>
      </c>
      <c r="I18" s="526"/>
      <c r="J18" s="527"/>
      <c r="K18" s="383">
        <v>22</v>
      </c>
      <c r="L18" s="398" t="s">
        <v>18</v>
      </c>
      <c r="M18" s="418"/>
      <c r="N18" s="403" t="s">
        <v>355</v>
      </c>
      <c r="O18" s="404" t="s">
        <v>434</v>
      </c>
      <c r="P18" s="405">
        <v>1</v>
      </c>
      <c r="Q18" s="406" t="s">
        <v>317</v>
      </c>
      <c r="R18" s="407">
        <f>K19</f>
        <v>78.313921600000015</v>
      </c>
      <c r="S18" s="408" t="s">
        <v>18</v>
      </c>
    </row>
    <row r="19" spans="2:26" ht="15" thickBot="1">
      <c r="B19" s="505" t="s">
        <v>416</v>
      </c>
      <c r="C19" s="506"/>
      <c r="D19" s="506"/>
      <c r="E19" s="506"/>
      <c r="F19" s="507"/>
      <c r="G19" s="401"/>
      <c r="H19" s="528" t="s">
        <v>354</v>
      </c>
      <c r="I19" s="529"/>
      <c r="J19" s="530"/>
      <c r="K19" s="412">
        <f>SUM(K15:K18)</f>
        <v>78.313921600000015</v>
      </c>
      <c r="L19" s="413" t="s">
        <v>18</v>
      </c>
      <c r="M19" s="418"/>
      <c r="N19" s="537"/>
      <c r="O19" s="538"/>
      <c r="P19" s="539"/>
      <c r="Q19" s="539"/>
      <c r="R19" s="538"/>
      <c r="S19" s="540"/>
    </row>
    <row r="20" spans="2:26">
      <c r="B20" s="395" t="s">
        <v>316</v>
      </c>
      <c r="C20" s="330" t="s">
        <v>295</v>
      </c>
      <c r="D20" s="330" t="s">
        <v>296</v>
      </c>
      <c r="E20" s="330" t="s">
        <v>293</v>
      </c>
      <c r="F20" s="396" t="s">
        <v>252</v>
      </c>
      <c r="G20" s="401"/>
      <c r="H20" s="516"/>
      <c r="I20" s="517"/>
      <c r="J20" s="517"/>
      <c r="K20" s="517"/>
      <c r="L20" s="518"/>
      <c r="M20" s="418"/>
      <c r="N20" s="403" t="s">
        <v>357</v>
      </c>
      <c r="O20" s="404" t="s">
        <v>374</v>
      </c>
      <c r="P20" s="405">
        <v>1</v>
      </c>
      <c r="Q20" s="406" t="s">
        <v>317</v>
      </c>
      <c r="R20" s="407">
        <f>K28</f>
        <v>20.906481599999999</v>
      </c>
      <c r="S20" s="408" t="s">
        <v>18</v>
      </c>
    </row>
    <row r="21" spans="2:26" ht="13.8" thickBot="1">
      <c r="B21" s="395" t="s">
        <v>298</v>
      </c>
      <c r="C21" s="330" t="s">
        <v>420</v>
      </c>
      <c r="D21" s="399" t="s">
        <v>299</v>
      </c>
      <c r="E21" s="383">
        <v>2749.8200999999999</v>
      </c>
      <c r="F21" s="400" t="s">
        <v>297</v>
      </c>
      <c r="G21" s="401"/>
      <c r="H21" s="522"/>
      <c r="I21" s="523"/>
      <c r="J21" s="523"/>
      <c r="K21" s="523"/>
      <c r="L21" s="524"/>
      <c r="M21" s="418"/>
      <c r="N21" s="537"/>
      <c r="O21" s="538"/>
      <c r="P21" s="539"/>
      <c r="Q21" s="539"/>
      <c r="R21" s="538"/>
      <c r="S21" s="540"/>
    </row>
    <row r="22" spans="2:26" ht="15" thickBot="1">
      <c r="B22" s="395" t="s">
        <v>300</v>
      </c>
      <c r="C22" s="330" t="s">
        <v>422</v>
      </c>
      <c r="D22" s="399" t="s">
        <v>301</v>
      </c>
      <c r="E22" s="383">
        <v>8993.5804000000007</v>
      </c>
      <c r="F22" s="400" t="s">
        <v>297</v>
      </c>
      <c r="G22" s="401"/>
      <c r="H22" s="531" t="s">
        <v>430</v>
      </c>
      <c r="I22" s="532"/>
      <c r="J22" s="532"/>
      <c r="K22" s="532"/>
      <c r="L22" s="533"/>
      <c r="M22" s="418"/>
      <c r="N22" s="549" t="s">
        <v>318</v>
      </c>
      <c r="O22" s="550"/>
      <c r="P22" s="550"/>
      <c r="Q22" s="550"/>
      <c r="R22" s="410">
        <f>(P16*R16)+(P18*R18)+(P20*R20)</f>
        <v>171.03696040000003</v>
      </c>
      <c r="S22" s="411" t="s">
        <v>319</v>
      </c>
    </row>
    <row r="23" spans="2:26" ht="15" thickBot="1">
      <c r="B23" s="395" t="s">
        <v>302</v>
      </c>
      <c r="C23" s="330" t="s">
        <v>424</v>
      </c>
      <c r="D23" s="399" t="s">
        <v>303</v>
      </c>
      <c r="E23" s="383">
        <v>9482.0053000000007</v>
      </c>
      <c r="F23" s="400" t="s">
        <v>297</v>
      </c>
      <c r="G23" s="401"/>
      <c r="H23" s="534" t="s">
        <v>376</v>
      </c>
      <c r="I23" s="535"/>
      <c r="J23" s="535"/>
      <c r="K23" s="535"/>
      <c r="L23" s="536"/>
      <c r="M23" s="394"/>
      <c r="N23" s="551" t="s">
        <v>320</v>
      </c>
      <c r="O23" s="552"/>
      <c r="P23" s="552"/>
      <c r="Q23" s="552"/>
      <c r="R23" s="424">
        <f>((R22/7)*30)</f>
        <v>733.01554457142868</v>
      </c>
      <c r="S23" s="425" t="s">
        <v>319</v>
      </c>
      <c r="T23" s="346"/>
      <c r="U23" s="346"/>
      <c r="V23" s="426" t="s">
        <v>435</v>
      </c>
      <c r="W23" s="346"/>
      <c r="X23" s="346"/>
      <c r="Y23" s="346"/>
      <c r="Z23" s="346"/>
    </row>
    <row r="24" spans="2:26">
      <c r="B24" s="395" t="s">
        <v>304</v>
      </c>
      <c r="C24" s="330" t="s">
        <v>426</v>
      </c>
      <c r="D24" s="399" t="s">
        <v>305</v>
      </c>
      <c r="E24" s="383">
        <v>8227.4233999999997</v>
      </c>
      <c r="F24" s="400" t="s">
        <v>297</v>
      </c>
      <c r="G24" s="401"/>
      <c r="H24" s="525" t="s">
        <v>419</v>
      </c>
      <c r="I24" s="526"/>
      <c r="J24" s="527"/>
      <c r="K24" s="397">
        <v>2</v>
      </c>
      <c r="L24" s="398" t="s">
        <v>18</v>
      </c>
      <c r="M24" s="394"/>
      <c r="N24" s="553"/>
      <c r="O24" s="554"/>
      <c r="P24" s="554"/>
      <c r="Q24" s="554"/>
      <c r="R24" s="554"/>
      <c r="S24" s="555"/>
      <c r="T24" s="346"/>
      <c r="U24" s="346"/>
      <c r="V24" s="346"/>
      <c r="W24" s="346"/>
      <c r="X24" s="346"/>
      <c r="Y24" s="346"/>
      <c r="Z24" s="346"/>
    </row>
    <row r="25" spans="2:26" ht="15" customHeight="1" thickBot="1">
      <c r="B25" s="395" t="s">
        <v>306</v>
      </c>
      <c r="C25" s="330" t="s">
        <v>427</v>
      </c>
      <c r="D25" s="399" t="s">
        <v>307</v>
      </c>
      <c r="E25" s="383">
        <v>7164.723</v>
      </c>
      <c r="F25" s="400" t="s">
        <v>297</v>
      </c>
      <c r="G25" s="401"/>
      <c r="H25" s="525" t="s">
        <v>421</v>
      </c>
      <c r="I25" s="526"/>
      <c r="J25" s="527"/>
      <c r="K25" s="402">
        <f>E39</f>
        <v>11.7064816</v>
      </c>
      <c r="L25" s="398" t="s">
        <v>18</v>
      </c>
      <c r="M25" s="394"/>
      <c r="N25" s="556"/>
      <c r="O25" s="557"/>
      <c r="P25" s="557"/>
      <c r="Q25" s="557"/>
      <c r="R25" s="557"/>
      <c r="S25" s="558"/>
      <c r="T25" s="346"/>
      <c r="U25" s="346"/>
      <c r="V25" s="346"/>
      <c r="W25" s="346"/>
      <c r="X25" s="346"/>
      <c r="Y25" s="346"/>
      <c r="Z25" s="346"/>
    </row>
    <row r="26" spans="2:26" ht="15" thickBot="1">
      <c r="B26" s="395" t="s">
        <v>308</v>
      </c>
      <c r="C26" s="330" t="s">
        <v>428</v>
      </c>
      <c r="D26" s="399" t="s">
        <v>309</v>
      </c>
      <c r="E26" s="383">
        <v>4498.7867999999999</v>
      </c>
      <c r="F26" s="400" t="s">
        <v>297</v>
      </c>
      <c r="G26" s="401"/>
      <c r="H26" s="525" t="s">
        <v>423</v>
      </c>
      <c r="I26" s="526"/>
      <c r="J26" s="527"/>
      <c r="K26" s="383">
        <v>1.7</v>
      </c>
      <c r="L26" s="398" t="s">
        <v>18</v>
      </c>
      <c r="M26" s="416"/>
      <c r="N26" s="510" t="s">
        <v>436</v>
      </c>
      <c r="O26" s="511"/>
      <c r="P26" s="511"/>
      <c r="Q26" s="511"/>
      <c r="R26" s="511"/>
      <c r="S26" s="512"/>
      <c r="T26" s="346"/>
      <c r="U26" s="346"/>
      <c r="V26" s="346"/>
      <c r="W26" s="346"/>
      <c r="X26" s="346"/>
      <c r="Y26" s="346"/>
      <c r="Z26" s="346"/>
    </row>
    <row r="27" spans="2:26">
      <c r="B27" s="395" t="s">
        <v>310</v>
      </c>
      <c r="C27" s="330" t="s">
        <v>429</v>
      </c>
      <c r="D27" s="399" t="s">
        <v>311</v>
      </c>
      <c r="E27" s="383">
        <v>3530.3207000000002</v>
      </c>
      <c r="F27" s="400" t="s">
        <v>297</v>
      </c>
      <c r="G27" s="401"/>
      <c r="H27" s="525" t="s">
        <v>437</v>
      </c>
      <c r="I27" s="526"/>
      <c r="J27" s="527"/>
      <c r="K27" s="383">
        <v>5.5</v>
      </c>
      <c r="L27" s="398" t="s">
        <v>18</v>
      </c>
      <c r="M27" s="394"/>
      <c r="N27" s="541" t="s">
        <v>351</v>
      </c>
      <c r="O27" s="543" t="s">
        <v>315</v>
      </c>
      <c r="P27" s="545" t="s">
        <v>418</v>
      </c>
      <c r="Q27" s="545"/>
      <c r="R27" s="543" t="s">
        <v>352</v>
      </c>
      <c r="S27" s="547" t="s">
        <v>294</v>
      </c>
      <c r="T27" s="346"/>
      <c r="U27" s="346"/>
      <c r="V27" s="346"/>
      <c r="W27" s="346"/>
      <c r="X27" s="346"/>
      <c r="Y27" s="346"/>
      <c r="Z27" s="346"/>
    </row>
    <row r="28" spans="2:26" ht="15" thickBot="1">
      <c r="B28" s="395" t="s">
        <v>312</v>
      </c>
      <c r="C28" s="330" t="s">
        <v>431</v>
      </c>
      <c r="D28" s="399" t="s">
        <v>321</v>
      </c>
      <c r="E28" s="383">
        <v>3542.8899000000001</v>
      </c>
      <c r="F28" s="400" t="s">
        <v>297</v>
      </c>
      <c r="G28" s="401"/>
      <c r="H28" s="528" t="s">
        <v>354</v>
      </c>
      <c r="I28" s="529"/>
      <c r="J28" s="530"/>
      <c r="K28" s="412">
        <f>SUM(K24:K27)</f>
        <v>20.906481599999999</v>
      </c>
      <c r="L28" s="413" t="s">
        <v>18</v>
      </c>
      <c r="M28" s="416"/>
      <c r="N28" s="542"/>
      <c r="O28" s="544"/>
      <c r="P28" s="546"/>
      <c r="Q28" s="546"/>
      <c r="R28" s="544"/>
      <c r="S28" s="548"/>
      <c r="T28" s="346"/>
      <c r="U28" s="346"/>
      <c r="V28" s="346"/>
      <c r="W28" s="346"/>
      <c r="X28" s="346"/>
      <c r="Y28" s="346"/>
      <c r="Z28" s="346"/>
    </row>
    <row r="29" spans="2:26">
      <c r="B29" s="395" t="s">
        <v>313</v>
      </c>
      <c r="C29" s="330" t="s">
        <v>432</v>
      </c>
      <c r="D29" s="399" t="s">
        <v>322</v>
      </c>
      <c r="E29" s="383">
        <v>2824.3719999999998</v>
      </c>
      <c r="F29" s="400" t="s">
        <v>297</v>
      </c>
      <c r="G29" s="401"/>
      <c r="H29" s="516"/>
      <c r="I29" s="517"/>
      <c r="J29" s="517"/>
      <c r="K29" s="517"/>
      <c r="L29" s="518"/>
      <c r="N29" s="403" t="s">
        <v>378</v>
      </c>
      <c r="O29" s="404" t="s">
        <v>438</v>
      </c>
      <c r="P29" s="405">
        <v>1</v>
      </c>
      <c r="Q29" s="406" t="s">
        <v>317</v>
      </c>
      <c r="R29" s="407">
        <f>K36</f>
        <v>71.046539999999993</v>
      </c>
      <c r="S29" s="408" t="s">
        <v>18</v>
      </c>
      <c r="T29" s="346"/>
      <c r="U29" s="346"/>
      <c r="V29" s="346"/>
      <c r="W29" s="346"/>
      <c r="X29" s="346"/>
      <c r="Y29" s="346"/>
      <c r="Z29" s="346"/>
    </row>
    <row r="30" spans="2:26" ht="15" thickBot="1">
      <c r="B30" s="508" t="s">
        <v>314</v>
      </c>
      <c r="C30" s="509"/>
      <c r="D30" s="509"/>
      <c r="E30" s="419">
        <f>SUM(E21:E29)/1000</f>
        <v>51.01392160000001</v>
      </c>
      <c r="F30" s="420" t="s">
        <v>18</v>
      </c>
      <c r="G30" s="401"/>
      <c r="H30" s="522"/>
      <c r="I30" s="523"/>
      <c r="J30" s="523"/>
      <c r="K30" s="523"/>
      <c r="L30" s="524"/>
      <c r="N30" s="537"/>
      <c r="O30" s="538"/>
      <c r="P30" s="539"/>
      <c r="Q30" s="539"/>
      <c r="R30" s="538"/>
      <c r="S30" s="540"/>
      <c r="T30" s="346"/>
      <c r="U30" s="346"/>
      <c r="V30" s="346"/>
      <c r="W30" s="346"/>
      <c r="X30" s="346"/>
      <c r="Y30" s="346"/>
      <c r="Z30" s="346"/>
    </row>
    <row r="31" spans="2:26" ht="15" thickBot="1">
      <c r="B31" s="513"/>
      <c r="C31" s="514"/>
      <c r="D31" s="514"/>
      <c r="E31" s="514"/>
      <c r="F31" s="515"/>
      <c r="G31" s="401"/>
      <c r="H31" s="531" t="s">
        <v>439</v>
      </c>
      <c r="I31" s="532"/>
      <c r="J31" s="532"/>
      <c r="K31" s="532"/>
      <c r="L31" s="533"/>
      <c r="N31" s="403" t="s">
        <v>380</v>
      </c>
      <c r="O31" s="404" t="s">
        <v>440</v>
      </c>
      <c r="P31" s="405">
        <v>1</v>
      </c>
      <c r="Q31" s="406" t="s">
        <v>317</v>
      </c>
      <c r="R31" s="407">
        <f>K44</f>
        <v>50.006010000000003</v>
      </c>
      <c r="S31" s="408" t="s">
        <v>18</v>
      </c>
      <c r="T31" s="346"/>
      <c r="U31" s="346"/>
      <c r="V31" s="346"/>
      <c r="W31" s="346"/>
      <c r="X31" s="346"/>
      <c r="Y31" s="346"/>
      <c r="Z31" s="346"/>
    </row>
    <row r="32" spans="2:26" ht="15" thickBot="1">
      <c r="B32" s="502" t="s">
        <v>357</v>
      </c>
      <c r="C32" s="503"/>
      <c r="D32" s="503"/>
      <c r="E32" s="503"/>
      <c r="F32" s="504"/>
      <c r="G32" s="401"/>
      <c r="H32" s="534" t="s">
        <v>377</v>
      </c>
      <c r="I32" s="535"/>
      <c r="J32" s="535"/>
      <c r="K32" s="535"/>
      <c r="L32" s="536"/>
      <c r="N32" s="537"/>
      <c r="O32" s="538"/>
      <c r="P32" s="539"/>
      <c r="Q32" s="539"/>
      <c r="R32" s="538"/>
      <c r="S32" s="540"/>
      <c r="T32" s="346"/>
      <c r="U32" s="346"/>
      <c r="V32" s="346"/>
      <c r="W32" s="346"/>
      <c r="X32" s="346"/>
      <c r="Y32" s="346"/>
      <c r="Z32" s="346"/>
    </row>
    <row r="33" spans="2:26">
      <c r="B33" s="505" t="s">
        <v>441</v>
      </c>
      <c r="C33" s="506"/>
      <c r="D33" s="506"/>
      <c r="E33" s="506"/>
      <c r="F33" s="507"/>
      <c r="G33" s="401"/>
      <c r="H33" s="525" t="s">
        <v>419</v>
      </c>
      <c r="I33" s="526"/>
      <c r="J33" s="527"/>
      <c r="K33" s="397">
        <v>2</v>
      </c>
      <c r="L33" s="398" t="s">
        <v>18</v>
      </c>
      <c r="N33" s="403" t="s">
        <v>381</v>
      </c>
      <c r="O33" s="404" t="s">
        <v>442</v>
      </c>
      <c r="P33" s="405">
        <v>1</v>
      </c>
      <c r="Q33" s="406" t="s">
        <v>317</v>
      </c>
      <c r="R33" s="407">
        <f>K52</f>
        <v>62.466290000000008</v>
      </c>
      <c r="S33" s="408" t="s">
        <v>18</v>
      </c>
      <c r="T33" s="346"/>
      <c r="U33" s="346"/>
      <c r="V33" s="346"/>
      <c r="W33" s="346"/>
      <c r="X33" s="346"/>
      <c r="Y33" s="346"/>
      <c r="Z33" s="346"/>
    </row>
    <row r="34" spans="2:26" ht="13.8" thickBot="1">
      <c r="B34" s="395" t="s">
        <v>316</v>
      </c>
      <c r="C34" s="330" t="s">
        <v>295</v>
      </c>
      <c r="D34" s="330" t="s">
        <v>296</v>
      </c>
      <c r="E34" s="330" t="s">
        <v>293</v>
      </c>
      <c r="F34" s="396" t="s">
        <v>252</v>
      </c>
      <c r="G34" s="401"/>
      <c r="H34" s="525" t="s">
        <v>421</v>
      </c>
      <c r="I34" s="526"/>
      <c r="J34" s="527"/>
      <c r="K34" s="402">
        <f>E52</f>
        <v>66.546539999999993</v>
      </c>
      <c r="L34" s="398" t="s">
        <v>18</v>
      </c>
      <c r="N34" s="537"/>
      <c r="O34" s="538"/>
      <c r="P34" s="539"/>
      <c r="Q34" s="539"/>
      <c r="R34" s="538"/>
      <c r="S34" s="540"/>
      <c r="T34" s="346"/>
      <c r="U34" s="346"/>
      <c r="V34" s="346"/>
      <c r="W34" s="346"/>
      <c r="X34" s="346"/>
      <c r="Y34" s="346"/>
      <c r="Z34" s="346"/>
    </row>
    <row r="35" spans="2:26" ht="15" thickBot="1">
      <c r="B35" s="395" t="s">
        <v>298</v>
      </c>
      <c r="C35" s="330" t="s">
        <v>420</v>
      </c>
      <c r="D35" s="399" t="s">
        <v>299</v>
      </c>
      <c r="E35" s="383">
        <v>2981.1623</v>
      </c>
      <c r="F35" s="400" t="s">
        <v>297</v>
      </c>
      <c r="H35" s="525" t="s">
        <v>423</v>
      </c>
      <c r="I35" s="526"/>
      <c r="J35" s="527"/>
      <c r="K35" s="383">
        <v>2.5</v>
      </c>
      <c r="L35" s="398" t="s">
        <v>18</v>
      </c>
      <c r="N35" s="510" t="s">
        <v>320</v>
      </c>
      <c r="O35" s="511"/>
      <c r="P35" s="511"/>
      <c r="Q35" s="511"/>
      <c r="R35" s="427">
        <f>(P29*R29)+(P31*R31)+(P33*R33)</f>
        <v>183.51884000000001</v>
      </c>
      <c r="S35" s="428" t="s">
        <v>319</v>
      </c>
      <c r="T35" s="346"/>
      <c r="U35" s="346"/>
      <c r="V35" s="346"/>
      <c r="W35" s="346"/>
      <c r="X35" s="346"/>
      <c r="Y35" s="346"/>
      <c r="Z35" s="346"/>
    </row>
    <row r="36" spans="2:26" ht="15" thickBot="1">
      <c r="B36" s="395" t="s">
        <v>300</v>
      </c>
      <c r="C36" s="330" t="s">
        <v>422</v>
      </c>
      <c r="D36" s="399" t="s">
        <v>301</v>
      </c>
      <c r="E36" s="383">
        <v>1935.7251000000001</v>
      </c>
      <c r="F36" s="400" t="s">
        <v>297</v>
      </c>
      <c r="H36" s="528" t="s">
        <v>354</v>
      </c>
      <c r="I36" s="529"/>
      <c r="J36" s="530"/>
      <c r="K36" s="412">
        <f>SUM(K33:K35)</f>
        <v>71.046539999999993</v>
      </c>
      <c r="L36" s="413" t="s">
        <v>18</v>
      </c>
      <c r="N36" s="516"/>
      <c r="O36" s="517"/>
      <c r="P36" s="517"/>
      <c r="Q36" s="517"/>
      <c r="R36" s="517"/>
      <c r="S36" s="518"/>
      <c r="T36" s="346"/>
      <c r="U36" s="346"/>
      <c r="V36" s="346"/>
      <c r="W36" s="346"/>
      <c r="X36" s="346"/>
      <c r="Y36" s="346"/>
      <c r="Z36" s="346"/>
    </row>
    <row r="37" spans="2:26">
      <c r="B37" s="395" t="s">
        <v>302</v>
      </c>
      <c r="C37" s="330" t="s">
        <v>424</v>
      </c>
      <c r="D37" s="399" t="s">
        <v>303</v>
      </c>
      <c r="E37" s="383">
        <v>3953.0610999999999</v>
      </c>
      <c r="F37" s="400" t="s">
        <v>297</v>
      </c>
      <c r="H37" s="516"/>
      <c r="I37" s="517"/>
      <c r="J37" s="517"/>
      <c r="K37" s="517"/>
      <c r="L37" s="518"/>
      <c r="N37" s="519"/>
      <c r="O37" s="520"/>
      <c r="P37" s="520"/>
      <c r="Q37" s="520"/>
      <c r="R37" s="520"/>
      <c r="S37" s="521"/>
      <c r="T37" s="346"/>
      <c r="U37" s="346"/>
      <c r="V37" s="346"/>
      <c r="W37" s="346"/>
      <c r="X37" s="346"/>
      <c r="Y37" s="346"/>
      <c r="Z37" s="346"/>
    </row>
    <row r="38" spans="2:26" ht="13.8" thickBot="1">
      <c r="B38" s="395" t="s">
        <v>304</v>
      </c>
      <c r="C38" s="330" t="s">
        <v>426</v>
      </c>
      <c r="D38" s="399" t="s">
        <v>305</v>
      </c>
      <c r="E38" s="383">
        <v>2836.5331000000001</v>
      </c>
      <c r="F38" s="400" t="s">
        <v>297</v>
      </c>
      <c r="H38" s="522"/>
      <c r="I38" s="523"/>
      <c r="J38" s="523"/>
      <c r="K38" s="523"/>
      <c r="L38" s="524"/>
      <c r="N38" s="522"/>
      <c r="O38" s="523"/>
      <c r="P38" s="523"/>
      <c r="Q38" s="523"/>
      <c r="R38" s="523"/>
      <c r="S38" s="524"/>
      <c r="T38" s="346"/>
      <c r="U38" s="346"/>
      <c r="V38" s="346"/>
      <c r="W38" s="346"/>
      <c r="X38" s="346"/>
      <c r="Y38" s="346"/>
      <c r="Z38" s="346"/>
    </row>
    <row r="39" spans="2:26" ht="15" thickBot="1">
      <c r="B39" s="508" t="s">
        <v>314</v>
      </c>
      <c r="C39" s="509"/>
      <c r="D39" s="509"/>
      <c r="E39" s="419">
        <f>SUM(E35:E38)/1000</f>
        <v>11.7064816</v>
      </c>
      <c r="F39" s="420" t="s">
        <v>18</v>
      </c>
      <c r="H39" s="531" t="s">
        <v>439</v>
      </c>
      <c r="I39" s="532"/>
      <c r="J39" s="532"/>
      <c r="K39" s="532"/>
      <c r="L39" s="533"/>
      <c r="N39" s="510" t="s">
        <v>446</v>
      </c>
      <c r="O39" s="511"/>
      <c r="P39" s="511"/>
      <c r="Q39" s="511"/>
      <c r="R39" s="511"/>
      <c r="S39" s="512"/>
      <c r="T39" s="346"/>
      <c r="U39" s="346"/>
      <c r="V39" s="346"/>
      <c r="W39" s="346"/>
      <c r="X39" s="346"/>
      <c r="Y39" s="346"/>
      <c r="Z39" s="346"/>
    </row>
    <row r="40" spans="2:26" ht="15" thickBot="1">
      <c r="B40" s="522"/>
      <c r="C40" s="523"/>
      <c r="D40" s="523"/>
      <c r="E40" s="523"/>
      <c r="F40" s="524"/>
      <c r="H40" s="534" t="s">
        <v>379</v>
      </c>
      <c r="I40" s="535"/>
      <c r="J40" s="535"/>
      <c r="K40" s="535"/>
      <c r="L40" s="536"/>
      <c r="N40" s="513"/>
      <c r="O40" s="514"/>
      <c r="P40" s="514"/>
      <c r="Q40" s="514"/>
      <c r="R40" s="514"/>
      <c r="S40" s="515"/>
      <c r="T40" s="346"/>
      <c r="U40" s="346"/>
      <c r="V40" s="346"/>
      <c r="W40" s="346"/>
      <c r="X40" s="346"/>
      <c r="Y40" s="346"/>
      <c r="Z40" s="346"/>
    </row>
    <row r="41" spans="2:26" ht="15" thickBot="1">
      <c r="B41" s="502" t="s">
        <v>378</v>
      </c>
      <c r="C41" s="503"/>
      <c r="D41" s="503"/>
      <c r="E41" s="503"/>
      <c r="F41" s="504"/>
      <c r="H41" s="525" t="s">
        <v>419</v>
      </c>
      <c r="I41" s="526"/>
      <c r="J41" s="527"/>
      <c r="K41" s="397">
        <v>2</v>
      </c>
      <c r="L41" s="398" t="s">
        <v>18</v>
      </c>
      <c r="N41" s="510" t="s">
        <v>320</v>
      </c>
      <c r="O41" s="511"/>
      <c r="P41" s="511"/>
      <c r="Q41" s="511"/>
      <c r="R41" s="427">
        <f>R23+R35</f>
        <v>916.53438457142875</v>
      </c>
      <c r="S41" s="428" t="s">
        <v>319</v>
      </c>
      <c r="T41" s="346"/>
      <c r="U41" s="346"/>
      <c r="V41" s="346"/>
      <c r="W41" s="346"/>
      <c r="X41" s="346"/>
      <c r="Y41" s="346"/>
      <c r="Z41" s="346"/>
    </row>
    <row r="42" spans="2:26">
      <c r="B42" s="505" t="s">
        <v>443</v>
      </c>
      <c r="C42" s="506"/>
      <c r="D42" s="506"/>
      <c r="E42" s="506"/>
      <c r="F42" s="507"/>
      <c r="H42" s="525" t="s">
        <v>421</v>
      </c>
      <c r="I42" s="526"/>
      <c r="J42" s="527"/>
      <c r="K42" s="402">
        <f>E62</f>
        <v>44.006010000000003</v>
      </c>
      <c r="L42" s="398" t="s">
        <v>18</v>
      </c>
      <c r="N42" s="429"/>
      <c r="O42" s="430"/>
      <c r="P42" s="431"/>
      <c r="Q42" s="432"/>
      <c r="R42" s="433"/>
      <c r="S42" s="433"/>
      <c r="T42" s="346"/>
      <c r="U42" s="346"/>
      <c r="V42" s="346"/>
      <c r="W42" s="346"/>
      <c r="X42" s="346"/>
      <c r="Y42" s="346"/>
      <c r="Z42" s="346"/>
    </row>
    <row r="43" spans="2:26">
      <c r="B43" s="395" t="s">
        <v>316</v>
      </c>
      <c r="C43" s="330" t="s">
        <v>295</v>
      </c>
      <c r="D43" s="330" t="s">
        <v>296</v>
      </c>
      <c r="E43" s="330" t="s">
        <v>293</v>
      </c>
      <c r="F43" s="396" t="s">
        <v>252</v>
      </c>
      <c r="H43" s="525" t="s">
        <v>423</v>
      </c>
      <c r="I43" s="526"/>
      <c r="J43" s="527"/>
      <c r="K43" s="383">
        <v>4</v>
      </c>
      <c r="L43" s="398" t="s">
        <v>18</v>
      </c>
      <c r="T43" s="346"/>
      <c r="U43" s="346"/>
      <c r="V43" s="346"/>
      <c r="W43" s="346"/>
      <c r="X43" s="346"/>
      <c r="Y43" s="346"/>
      <c r="Z43" s="346"/>
    </row>
    <row r="44" spans="2:26" ht="15" thickBot="1">
      <c r="B44" s="395" t="s">
        <v>298</v>
      </c>
      <c r="C44" s="330" t="s">
        <v>420</v>
      </c>
      <c r="D44" s="399" t="s">
        <v>299</v>
      </c>
      <c r="E44" s="383">
        <v>8748.16</v>
      </c>
      <c r="F44" s="400" t="s">
        <v>297</v>
      </c>
      <c r="H44" s="528" t="s">
        <v>354</v>
      </c>
      <c r="I44" s="529"/>
      <c r="J44" s="530"/>
      <c r="K44" s="412">
        <f>SUM(K41:K43)</f>
        <v>50.006010000000003</v>
      </c>
      <c r="L44" s="413" t="s">
        <v>18</v>
      </c>
      <c r="T44" s="346"/>
      <c r="U44" s="346"/>
      <c r="V44" s="346"/>
      <c r="W44" s="346"/>
      <c r="X44" s="346"/>
      <c r="Y44" s="346"/>
      <c r="Z44" s="346"/>
    </row>
    <row r="45" spans="2:26">
      <c r="B45" s="395" t="s">
        <v>300</v>
      </c>
      <c r="C45" s="330" t="s">
        <v>422</v>
      </c>
      <c r="D45" s="399" t="s">
        <v>301</v>
      </c>
      <c r="E45" s="383">
        <v>6352.41</v>
      </c>
      <c r="F45" s="400" t="s">
        <v>297</v>
      </c>
      <c r="H45" s="516"/>
      <c r="I45" s="517"/>
      <c r="J45" s="517"/>
      <c r="K45" s="517"/>
      <c r="L45" s="518"/>
      <c r="T45" s="346"/>
      <c r="U45" s="346"/>
      <c r="V45" s="346"/>
      <c r="W45" s="346"/>
      <c r="X45" s="346"/>
      <c r="Y45" s="346"/>
      <c r="Z45" s="346"/>
    </row>
    <row r="46" spans="2:26" ht="13.8" thickBot="1">
      <c r="B46" s="395" t="s">
        <v>302</v>
      </c>
      <c r="C46" s="330" t="s">
        <v>424</v>
      </c>
      <c r="D46" s="399" t="s">
        <v>303</v>
      </c>
      <c r="E46" s="383">
        <v>6079.96</v>
      </c>
      <c r="F46" s="400" t="s">
        <v>297</v>
      </c>
      <c r="H46" s="522"/>
      <c r="I46" s="523"/>
      <c r="J46" s="523"/>
      <c r="K46" s="523"/>
      <c r="L46" s="524"/>
      <c r="N46" s="432"/>
      <c r="O46" s="432"/>
      <c r="P46" s="416"/>
      <c r="Q46" s="416"/>
      <c r="R46" s="346"/>
      <c r="S46" s="346"/>
      <c r="T46" s="346"/>
      <c r="U46" s="346"/>
      <c r="V46" s="346"/>
      <c r="W46" s="346"/>
      <c r="X46" s="346"/>
      <c r="Y46" s="346"/>
      <c r="Z46" s="346"/>
    </row>
    <row r="47" spans="2:26" ht="15" thickBot="1">
      <c r="B47" s="395" t="s">
        <v>304</v>
      </c>
      <c r="C47" s="330" t="s">
        <v>426</v>
      </c>
      <c r="D47" s="399" t="s">
        <v>305</v>
      </c>
      <c r="E47" s="383">
        <v>6542.67</v>
      </c>
      <c r="F47" s="400" t="s">
        <v>297</v>
      </c>
      <c r="H47" s="531" t="s">
        <v>439</v>
      </c>
      <c r="I47" s="532"/>
      <c r="J47" s="532"/>
      <c r="K47" s="532"/>
      <c r="L47" s="533"/>
      <c r="N47" s="434"/>
      <c r="O47" s="434"/>
      <c r="P47" s="434"/>
      <c r="Q47" s="434"/>
      <c r="R47" s="435"/>
      <c r="S47" s="435"/>
      <c r="T47" s="346"/>
      <c r="U47" s="346"/>
      <c r="V47" s="346"/>
      <c r="W47" s="346"/>
      <c r="X47" s="346"/>
      <c r="Y47" s="346"/>
      <c r="Z47" s="346"/>
    </row>
    <row r="48" spans="2:26" ht="14.4">
      <c r="B48" s="395" t="s">
        <v>306</v>
      </c>
      <c r="C48" s="330" t="s">
        <v>427</v>
      </c>
      <c r="D48" s="399" t="s">
        <v>307</v>
      </c>
      <c r="E48" s="383">
        <v>12757.84</v>
      </c>
      <c r="F48" s="400" t="s">
        <v>297</v>
      </c>
      <c r="H48" s="534" t="s">
        <v>382</v>
      </c>
      <c r="I48" s="535"/>
      <c r="J48" s="535"/>
      <c r="K48" s="535"/>
      <c r="L48" s="536"/>
      <c r="N48" s="346"/>
      <c r="O48" s="346"/>
      <c r="P48" s="346"/>
      <c r="Q48" s="346"/>
      <c r="R48" s="346"/>
      <c r="S48" s="346"/>
      <c r="T48" s="346"/>
      <c r="U48" s="346"/>
      <c r="V48" s="346"/>
      <c r="W48" s="346"/>
      <c r="X48" s="346"/>
      <c r="Y48" s="346"/>
      <c r="Z48" s="346"/>
    </row>
    <row r="49" spans="2:26">
      <c r="B49" s="395" t="s">
        <v>308</v>
      </c>
      <c r="C49" s="330" t="s">
        <v>428</v>
      </c>
      <c r="D49" s="399" t="s">
        <v>309</v>
      </c>
      <c r="E49" s="402">
        <v>6594.24</v>
      </c>
      <c r="F49" s="400" t="s">
        <v>297</v>
      </c>
      <c r="H49" s="525" t="s">
        <v>419</v>
      </c>
      <c r="I49" s="526"/>
      <c r="J49" s="527"/>
      <c r="K49" s="397">
        <v>2</v>
      </c>
      <c r="L49" s="398" t="s">
        <v>18</v>
      </c>
      <c r="T49" s="346"/>
      <c r="U49" s="346"/>
      <c r="V49" s="346"/>
      <c r="W49" s="346"/>
      <c r="X49" s="346"/>
      <c r="Y49" s="346"/>
      <c r="Z49" s="346"/>
    </row>
    <row r="50" spans="2:26">
      <c r="B50" s="395" t="s">
        <v>310</v>
      </c>
      <c r="C50" s="330" t="s">
        <v>429</v>
      </c>
      <c r="D50" s="399" t="s">
        <v>444</v>
      </c>
      <c r="E50" s="402">
        <v>6444.02</v>
      </c>
      <c r="F50" s="400" t="s">
        <v>297</v>
      </c>
      <c r="H50" s="525" t="s">
        <v>421</v>
      </c>
      <c r="I50" s="526"/>
      <c r="J50" s="527"/>
      <c r="K50" s="402">
        <f>E72</f>
        <v>58.966290000000008</v>
      </c>
      <c r="L50" s="398" t="s">
        <v>18</v>
      </c>
      <c r="T50" s="346"/>
      <c r="U50" s="346"/>
      <c r="V50" s="346"/>
      <c r="W50" s="346"/>
      <c r="X50" s="346"/>
      <c r="Y50" s="346"/>
      <c r="Z50" s="346"/>
    </row>
    <row r="51" spans="2:26">
      <c r="B51" s="395" t="s">
        <v>312</v>
      </c>
      <c r="C51" s="330" t="s">
        <v>431</v>
      </c>
      <c r="D51" s="399" t="s">
        <v>321</v>
      </c>
      <c r="E51" s="402">
        <v>13027.24</v>
      </c>
      <c r="F51" s="400" t="s">
        <v>297</v>
      </c>
      <c r="H51" s="525" t="s">
        <v>423</v>
      </c>
      <c r="I51" s="526"/>
      <c r="J51" s="527"/>
      <c r="K51" s="383">
        <v>1.5</v>
      </c>
      <c r="L51" s="398" t="s">
        <v>18</v>
      </c>
      <c r="T51" s="346"/>
      <c r="U51" s="346"/>
      <c r="V51" s="346"/>
      <c r="W51" s="346"/>
      <c r="X51" s="346"/>
      <c r="Y51" s="346"/>
      <c r="Z51" s="346"/>
    </row>
    <row r="52" spans="2:26" ht="15" thickBot="1">
      <c r="B52" s="508" t="s">
        <v>314</v>
      </c>
      <c r="C52" s="509"/>
      <c r="D52" s="509"/>
      <c r="E52" s="419">
        <f>SUM(E44:E51)/1000</f>
        <v>66.546539999999993</v>
      </c>
      <c r="F52" s="420" t="s">
        <v>18</v>
      </c>
      <c r="H52" s="528" t="s">
        <v>354</v>
      </c>
      <c r="I52" s="529"/>
      <c r="J52" s="530"/>
      <c r="K52" s="412">
        <f>SUM(K49:K51)</f>
        <v>62.466290000000008</v>
      </c>
      <c r="L52" s="413" t="s">
        <v>18</v>
      </c>
      <c r="T52" s="346"/>
      <c r="U52" s="346"/>
      <c r="V52" s="346"/>
      <c r="W52" s="346"/>
      <c r="X52" s="346"/>
      <c r="Y52" s="346"/>
      <c r="Z52" s="346"/>
    </row>
    <row r="53" spans="2:26" ht="13.8" thickBot="1">
      <c r="B53" s="516"/>
      <c r="C53" s="517"/>
      <c r="D53" s="517"/>
      <c r="E53" s="517"/>
      <c r="F53" s="518"/>
      <c r="H53" s="516"/>
      <c r="I53" s="517"/>
      <c r="J53" s="517"/>
      <c r="K53" s="517"/>
      <c r="L53" s="518"/>
      <c r="T53" s="346"/>
      <c r="U53" s="346"/>
      <c r="V53" s="346"/>
      <c r="W53" s="346"/>
      <c r="X53" s="346"/>
      <c r="Y53" s="346"/>
      <c r="Z53" s="346"/>
    </row>
    <row r="54" spans="2:26" ht="15" thickBot="1">
      <c r="B54" s="502" t="s">
        <v>380</v>
      </c>
      <c r="C54" s="503"/>
      <c r="D54" s="503"/>
      <c r="E54" s="503"/>
      <c r="F54" s="504"/>
      <c r="H54" s="522"/>
      <c r="I54" s="523"/>
      <c r="J54" s="523"/>
      <c r="K54" s="523"/>
      <c r="L54" s="524"/>
      <c r="T54" s="346"/>
      <c r="U54" s="346"/>
      <c r="V54" s="346"/>
      <c r="W54" s="346"/>
      <c r="X54" s="346"/>
      <c r="Y54" s="346"/>
      <c r="Z54" s="346"/>
    </row>
    <row r="55" spans="2:26">
      <c r="B55" s="505" t="s">
        <v>443</v>
      </c>
      <c r="C55" s="506"/>
      <c r="D55" s="506"/>
      <c r="E55" s="506"/>
      <c r="F55" s="507"/>
      <c r="T55" s="346"/>
      <c r="U55" s="346"/>
      <c r="V55" s="346"/>
      <c r="W55" s="346"/>
      <c r="X55" s="346"/>
      <c r="Y55" s="346"/>
      <c r="Z55" s="346"/>
    </row>
    <row r="56" spans="2:26">
      <c r="B56" s="395" t="s">
        <v>316</v>
      </c>
      <c r="C56" s="330" t="s">
        <v>295</v>
      </c>
      <c r="D56" s="330" t="s">
        <v>296</v>
      </c>
      <c r="E56" s="330" t="s">
        <v>293</v>
      </c>
      <c r="F56" s="396" t="s">
        <v>252</v>
      </c>
      <c r="T56" s="346"/>
      <c r="U56" s="346"/>
      <c r="V56" s="346"/>
      <c r="W56" s="346"/>
      <c r="X56" s="346"/>
      <c r="Y56" s="346"/>
      <c r="Z56" s="346"/>
    </row>
    <row r="57" spans="2:26">
      <c r="B57" s="395" t="s">
        <v>298</v>
      </c>
      <c r="C57" s="330" t="s">
        <v>420</v>
      </c>
      <c r="D57" s="399" t="s">
        <v>299</v>
      </c>
      <c r="E57" s="383">
        <v>10541.44</v>
      </c>
      <c r="F57" s="400" t="s">
        <v>297</v>
      </c>
      <c r="T57" s="346"/>
      <c r="U57" s="346"/>
      <c r="V57" s="346"/>
      <c r="W57" s="346"/>
      <c r="X57" s="346"/>
      <c r="Y57" s="346"/>
      <c r="Z57" s="346"/>
    </row>
    <row r="58" spans="2:26">
      <c r="B58" s="395" t="s">
        <v>300</v>
      </c>
      <c r="C58" s="330" t="s">
        <v>422</v>
      </c>
      <c r="D58" s="399" t="s">
        <v>301</v>
      </c>
      <c r="E58" s="383">
        <v>9459.94</v>
      </c>
      <c r="F58" s="400" t="s">
        <v>297</v>
      </c>
      <c r="G58" s="436"/>
      <c r="H58" s="416"/>
      <c r="I58" s="416"/>
      <c r="J58" s="416"/>
      <c r="K58" s="437"/>
      <c r="L58" s="438"/>
      <c r="T58" s="346"/>
      <c r="U58" s="346"/>
      <c r="V58" s="346"/>
      <c r="W58" s="346"/>
      <c r="X58" s="346"/>
      <c r="Y58" s="346"/>
      <c r="Z58" s="346"/>
    </row>
    <row r="59" spans="2:26">
      <c r="B59" s="395" t="s">
        <v>302</v>
      </c>
      <c r="C59" s="330" t="s">
        <v>424</v>
      </c>
      <c r="D59" s="399" t="s">
        <v>303</v>
      </c>
      <c r="E59" s="383">
        <v>8071.1</v>
      </c>
      <c r="F59" s="400" t="s">
        <v>297</v>
      </c>
      <c r="H59" s="416"/>
      <c r="I59" s="416"/>
      <c r="J59" s="416"/>
      <c r="K59" s="401"/>
      <c r="L59" s="438"/>
      <c r="T59" s="346"/>
      <c r="U59" s="346"/>
      <c r="V59" s="346"/>
      <c r="W59" s="346"/>
      <c r="X59" s="346"/>
      <c r="Y59" s="346"/>
      <c r="Z59" s="346"/>
    </row>
    <row r="60" spans="2:26">
      <c r="B60" s="395" t="s">
        <v>304</v>
      </c>
      <c r="C60" s="330" t="s">
        <v>426</v>
      </c>
      <c r="D60" s="399" t="s">
        <v>305</v>
      </c>
      <c r="E60" s="383">
        <v>8163.85</v>
      </c>
      <c r="F60" s="400" t="s">
        <v>297</v>
      </c>
      <c r="T60" s="346"/>
      <c r="U60" s="346"/>
      <c r="V60" s="346"/>
      <c r="W60" s="346"/>
      <c r="X60" s="346"/>
      <c r="Y60" s="346"/>
      <c r="Z60" s="346"/>
    </row>
    <row r="61" spans="2:26">
      <c r="B61" s="395" t="s">
        <v>306</v>
      </c>
      <c r="C61" s="330" t="s">
        <v>427</v>
      </c>
      <c r="D61" s="399" t="s">
        <v>307</v>
      </c>
      <c r="E61" s="439">
        <v>7769.68</v>
      </c>
      <c r="F61" s="400" t="s">
        <v>297</v>
      </c>
      <c r="T61" s="346"/>
      <c r="U61" s="346"/>
      <c r="V61" s="346"/>
      <c r="W61" s="346"/>
      <c r="X61" s="346"/>
      <c r="Y61" s="346"/>
      <c r="Z61" s="346"/>
    </row>
    <row r="62" spans="2:26" ht="15" thickBot="1">
      <c r="B62" s="508" t="s">
        <v>314</v>
      </c>
      <c r="C62" s="509"/>
      <c r="D62" s="509"/>
      <c r="E62" s="419">
        <f>SUM(E57:E61)/1000</f>
        <v>44.006010000000003</v>
      </c>
      <c r="F62" s="420" t="s">
        <v>18</v>
      </c>
      <c r="T62" s="346"/>
      <c r="U62" s="346"/>
      <c r="V62" s="346"/>
      <c r="W62" s="346"/>
      <c r="X62" s="346"/>
      <c r="Y62" s="346"/>
      <c r="Z62" s="346"/>
    </row>
    <row r="63" spans="2:26" ht="13.8" thickBot="1">
      <c r="B63" s="516"/>
      <c r="C63" s="517"/>
      <c r="D63" s="517"/>
      <c r="E63" s="517"/>
      <c r="F63" s="518"/>
      <c r="T63" s="346"/>
      <c r="U63" s="346"/>
      <c r="V63" s="346"/>
      <c r="W63" s="346"/>
      <c r="X63" s="346"/>
      <c r="Y63" s="346"/>
      <c r="Z63" s="346"/>
    </row>
    <row r="64" spans="2:26" ht="15" thickBot="1">
      <c r="B64" s="502" t="s">
        <v>381</v>
      </c>
      <c r="C64" s="503"/>
      <c r="D64" s="503"/>
      <c r="E64" s="503"/>
      <c r="F64" s="504"/>
      <c r="G64" s="436"/>
      <c r="T64" s="346"/>
      <c r="U64" s="346"/>
      <c r="V64" s="346"/>
      <c r="W64" s="346"/>
      <c r="X64" s="346"/>
      <c r="Y64" s="346"/>
      <c r="Z64" s="346"/>
    </row>
    <row r="65" spans="2:21">
      <c r="B65" s="505" t="s">
        <v>443</v>
      </c>
      <c r="C65" s="506"/>
      <c r="D65" s="506"/>
      <c r="E65" s="506"/>
      <c r="F65" s="507"/>
    </row>
    <row r="66" spans="2:21">
      <c r="B66" s="395" t="s">
        <v>316</v>
      </c>
      <c r="C66" s="330" t="s">
        <v>295</v>
      </c>
      <c r="D66" s="330" t="s">
        <v>296</v>
      </c>
      <c r="E66" s="330" t="s">
        <v>293</v>
      </c>
      <c r="F66" s="396" t="s">
        <v>252</v>
      </c>
    </row>
    <row r="67" spans="2:21">
      <c r="B67" s="395" t="s">
        <v>298</v>
      </c>
      <c r="C67" s="330" t="s">
        <v>420</v>
      </c>
      <c r="D67" s="399" t="s">
        <v>299</v>
      </c>
      <c r="E67" s="383">
        <v>11533.05</v>
      </c>
      <c r="F67" s="400" t="s">
        <v>297</v>
      </c>
    </row>
    <row r="68" spans="2:21">
      <c r="B68" s="395" t="s">
        <v>300</v>
      </c>
      <c r="C68" s="330" t="s">
        <v>422</v>
      </c>
      <c r="D68" s="399" t="s">
        <v>301</v>
      </c>
      <c r="E68" s="383">
        <v>9134.7000000000007</v>
      </c>
      <c r="F68" s="400" t="s">
        <v>297</v>
      </c>
    </row>
    <row r="69" spans="2:21">
      <c r="B69" s="395" t="s">
        <v>302</v>
      </c>
      <c r="C69" s="330" t="s">
        <v>424</v>
      </c>
      <c r="D69" s="399" t="s">
        <v>303</v>
      </c>
      <c r="E69" s="383">
        <v>10263.120000000001</v>
      </c>
      <c r="F69" s="400" t="s">
        <v>297</v>
      </c>
    </row>
    <row r="70" spans="2:21">
      <c r="B70" s="395" t="s">
        <v>304</v>
      </c>
      <c r="C70" s="330" t="s">
        <v>426</v>
      </c>
      <c r="D70" s="399" t="s">
        <v>305</v>
      </c>
      <c r="E70" s="383">
        <v>8662.98</v>
      </c>
      <c r="F70" s="400" t="s">
        <v>297</v>
      </c>
    </row>
    <row r="71" spans="2:21">
      <c r="B71" s="395" t="s">
        <v>306</v>
      </c>
      <c r="C71" s="330" t="s">
        <v>427</v>
      </c>
      <c r="D71" s="399" t="s">
        <v>307</v>
      </c>
      <c r="E71" s="383">
        <v>19372.439999999999</v>
      </c>
      <c r="F71" s="400" t="s">
        <v>297</v>
      </c>
    </row>
    <row r="72" spans="2:21" ht="15" thickBot="1">
      <c r="B72" s="508" t="s">
        <v>314</v>
      </c>
      <c r="C72" s="509"/>
      <c r="D72" s="509"/>
      <c r="E72" s="419">
        <f>SUM(E67:E71)/1000</f>
        <v>58.966290000000008</v>
      </c>
      <c r="F72" s="420" t="s">
        <v>18</v>
      </c>
    </row>
    <row r="73" spans="2:21">
      <c r="B73" s="418"/>
      <c r="C73" s="418"/>
      <c r="D73" s="440"/>
      <c r="E73" s="436"/>
      <c r="F73" s="346"/>
      <c r="U73" s="441" t="s">
        <v>435</v>
      </c>
    </row>
    <row r="74" spans="2:21">
      <c r="B74" s="418"/>
      <c r="C74" s="418"/>
      <c r="D74" s="440"/>
      <c r="E74" s="436"/>
      <c r="F74" s="346"/>
    </row>
    <row r="75" spans="2:21">
      <c r="B75" s="418"/>
      <c r="C75" s="418"/>
      <c r="D75" s="440"/>
      <c r="E75" s="436"/>
      <c r="F75" s="346"/>
    </row>
    <row r="76" spans="2:21">
      <c r="B76" s="418"/>
      <c r="C76" s="418"/>
      <c r="D76" s="440"/>
      <c r="E76" s="436"/>
      <c r="F76" s="346"/>
    </row>
    <row r="80" spans="2:21">
      <c r="H80" s="346"/>
      <c r="I80" s="346"/>
      <c r="J80" s="346"/>
      <c r="K80" s="401"/>
      <c r="L80" s="346"/>
    </row>
    <row r="81" spans="8:12">
      <c r="H81" s="346"/>
      <c r="I81" s="346"/>
      <c r="J81" s="346"/>
      <c r="K81" s="401"/>
      <c r="L81" s="346"/>
    </row>
    <row r="82" spans="8:12">
      <c r="H82" s="346"/>
      <c r="I82" s="346"/>
      <c r="J82" s="346"/>
      <c r="K82" s="401"/>
      <c r="L82" s="346"/>
    </row>
    <row r="83" spans="8:12">
      <c r="H83" s="346"/>
      <c r="I83" s="346"/>
      <c r="J83" s="346"/>
      <c r="K83" s="401"/>
      <c r="L83" s="346"/>
    </row>
    <row r="84" spans="8:12">
      <c r="H84" s="346"/>
      <c r="I84" s="346"/>
      <c r="J84" s="346"/>
      <c r="K84" s="401"/>
      <c r="L84" s="346"/>
    </row>
    <row r="85" spans="8:12">
      <c r="H85" s="346"/>
      <c r="I85" s="346"/>
      <c r="J85" s="346"/>
      <c r="K85" s="401"/>
      <c r="L85" s="346"/>
    </row>
    <row r="86" spans="8:12">
      <c r="H86" s="346"/>
      <c r="I86" s="346"/>
      <c r="J86" s="346"/>
      <c r="K86" s="401"/>
      <c r="L86" s="346"/>
    </row>
    <row r="87" spans="8:12">
      <c r="H87" s="346"/>
      <c r="I87" s="346"/>
      <c r="J87" s="346"/>
      <c r="K87" s="401"/>
      <c r="L87" s="346"/>
    </row>
    <row r="88" spans="8:12">
      <c r="H88" s="436"/>
      <c r="I88" s="346"/>
      <c r="J88" s="346"/>
      <c r="K88" s="401"/>
      <c r="L88" s="346"/>
    </row>
    <row r="89" spans="8:12">
      <c r="H89" s="346"/>
      <c r="I89" s="346"/>
      <c r="J89" s="346"/>
      <c r="K89" s="401"/>
      <c r="L89" s="346"/>
    </row>
    <row r="90" spans="8:12">
      <c r="H90" s="346"/>
      <c r="I90" s="346"/>
      <c r="J90" s="346"/>
      <c r="K90" s="401"/>
      <c r="L90" s="346"/>
    </row>
    <row r="91" spans="8:12">
      <c r="H91" s="346"/>
      <c r="I91" s="346"/>
      <c r="J91" s="346"/>
      <c r="K91" s="401"/>
      <c r="L91" s="346"/>
    </row>
    <row r="92" spans="8:12">
      <c r="H92" s="346"/>
      <c r="I92" s="346"/>
      <c r="J92" s="346"/>
      <c r="K92" s="401"/>
      <c r="L92" s="346"/>
    </row>
    <row r="93" spans="8:12">
      <c r="H93" s="401"/>
      <c r="I93" s="346"/>
      <c r="J93" s="346"/>
      <c r="K93" s="401"/>
      <c r="L93" s="346"/>
    </row>
    <row r="94" spans="8:12">
      <c r="H94" s="346"/>
      <c r="I94" s="346"/>
      <c r="J94" s="346"/>
      <c r="K94" s="401"/>
      <c r="L94" s="346"/>
    </row>
    <row r="95" spans="8:12">
      <c r="H95" s="346"/>
      <c r="I95" s="346"/>
      <c r="J95" s="346"/>
      <c r="K95" s="401"/>
      <c r="L95" s="346"/>
    </row>
    <row r="96" spans="8:12">
      <c r="H96" s="401"/>
      <c r="I96" s="346"/>
      <c r="J96" s="346"/>
      <c r="K96" s="401"/>
      <c r="L96" s="346"/>
    </row>
    <row r="97" spans="8:12">
      <c r="H97" s="346"/>
      <c r="I97" s="346"/>
      <c r="J97" s="346"/>
      <c r="K97" s="401"/>
      <c r="L97" s="346"/>
    </row>
    <row r="98" spans="8:12">
      <c r="H98" s="346"/>
      <c r="I98" s="346"/>
      <c r="J98" s="346"/>
      <c r="K98" s="401"/>
      <c r="L98" s="346"/>
    </row>
    <row r="99" spans="8:12">
      <c r="H99" s="346"/>
      <c r="I99" s="346"/>
      <c r="J99" s="346"/>
      <c r="K99" s="401"/>
      <c r="L99" s="346"/>
    </row>
    <row r="100" spans="8:12">
      <c r="H100" s="346"/>
      <c r="I100" s="346"/>
      <c r="J100" s="346"/>
      <c r="K100" s="401"/>
      <c r="L100" s="346"/>
    </row>
    <row r="101" spans="8:12">
      <c r="H101" s="346"/>
      <c r="I101" s="346"/>
      <c r="J101" s="346"/>
      <c r="K101" s="401"/>
      <c r="L101" s="346"/>
    </row>
    <row r="102" spans="8:12">
      <c r="H102" s="346"/>
      <c r="I102" s="346"/>
      <c r="J102" s="346"/>
      <c r="K102" s="401"/>
      <c r="L102" s="346"/>
    </row>
    <row r="103" spans="8:12">
      <c r="H103" s="401"/>
      <c r="I103" s="436"/>
      <c r="J103" s="346"/>
      <c r="K103" s="401"/>
      <c r="L103" s="346"/>
    </row>
    <row r="104" spans="8:12">
      <c r="H104" s="346"/>
      <c r="I104" s="346"/>
      <c r="J104" s="346"/>
      <c r="K104" s="401"/>
      <c r="L104" s="346"/>
    </row>
    <row r="105" spans="8:12">
      <c r="H105" s="346"/>
      <c r="I105" s="346"/>
      <c r="J105" s="346"/>
      <c r="K105" s="401"/>
      <c r="L105" s="346"/>
    </row>
    <row r="106" spans="8:12">
      <c r="H106" s="346"/>
      <c r="I106" s="346"/>
      <c r="J106" s="346"/>
      <c r="K106" s="401"/>
      <c r="L106" s="346"/>
    </row>
    <row r="107" spans="8:12">
      <c r="H107" s="346"/>
      <c r="I107" s="346"/>
      <c r="J107" s="346"/>
      <c r="K107" s="401"/>
      <c r="L107" s="346"/>
    </row>
    <row r="108" spans="8:12">
      <c r="H108" s="346"/>
      <c r="I108" s="346"/>
      <c r="J108" s="346"/>
      <c r="K108" s="401"/>
      <c r="L108" s="346"/>
    </row>
    <row r="109" spans="8:12">
      <c r="H109" s="346"/>
      <c r="I109" s="346"/>
      <c r="J109" s="346"/>
      <c r="K109" s="401"/>
      <c r="L109" s="346"/>
    </row>
    <row r="110" spans="8:12">
      <c r="H110" s="346"/>
      <c r="I110" s="346"/>
      <c r="J110" s="346"/>
      <c r="K110" s="401"/>
      <c r="L110" s="346"/>
    </row>
    <row r="111" spans="8:12">
      <c r="H111" s="346"/>
      <c r="I111" s="346"/>
      <c r="J111" s="346"/>
      <c r="K111" s="401"/>
      <c r="L111" s="346"/>
    </row>
    <row r="112" spans="8:12">
      <c r="H112" s="346"/>
      <c r="I112" s="346"/>
      <c r="J112" s="346"/>
      <c r="K112" s="401"/>
      <c r="L112" s="346"/>
    </row>
    <row r="113" spans="8:12">
      <c r="H113" s="346"/>
      <c r="I113" s="346"/>
      <c r="J113" s="346"/>
      <c r="K113" s="401"/>
      <c r="L113" s="346"/>
    </row>
    <row r="114" spans="8:12">
      <c r="H114" s="346"/>
      <c r="I114" s="346"/>
      <c r="J114" s="346"/>
      <c r="K114" s="401"/>
      <c r="L114" s="346"/>
    </row>
    <row r="115" spans="8:12">
      <c r="H115" s="346"/>
      <c r="I115" s="346"/>
      <c r="J115" s="346"/>
      <c r="K115" s="401"/>
      <c r="L115" s="346"/>
    </row>
    <row r="116" spans="8:12">
      <c r="H116" s="346"/>
      <c r="I116" s="346"/>
      <c r="J116" s="346"/>
      <c r="K116" s="401"/>
      <c r="L116" s="346"/>
    </row>
    <row r="117" spans="8:12">
      <c r="H117" s="436"/>
      <c r="I117" s="436"/>
      <c r="J117" s="346"/>
      <c r="K117" s="401"/>
      <c r="L117" s="346"/>
    </row>
    <row r="118" spans="8:12">
      <c r="H118" s="346"/>
      <c r="I118" s="346"/>
      <c r="J118" s="346"/>
      <c r="K118" s="401"/>
      <c r="L118" s="346"/>
    </row>
    <row r="119" spans="8:12">
      <c r="H119" s="346"/>
      <c r="I119" s="346"/>
      <c r="J119" s="346"/>
      <c r="K119" s="401"/>
      <c r="L119" s="346"/>
    </row>
    <row r="120" spans="8:12">
      <c r="H120" s="346"/>
      <c r="I120" s="346"/>
      <c r="J120" s="346"/>
      <c r="K120" s="401"/>
      <c r="L120" s="346"/>
    </row>
    <row r="121" spans="8:12">
      <c r="H121" s="346"/>
      <c r="I121" s="346"/>
      <c r="J121" s="346"/>
      <c r="K121" s="401"/>
      <c r="L121" s="346"/>
    </row>
    <row r="122" spans="8:12">
      <c r="H122" s="346"/>
      <c r="I122" s="346"/>
      <c r="J122" s="346"/>
      <c r="K122" s="401"/>
      <c r="L122" s="346"/>
    </row>
    <row r="123" spans="8:12">
      <c r="H123" s="346"/>
      <c r="I123" s="346"/>
      <c r="J123" s="346"/>
      <c r="K123" s="401"/>
      <c r="L123" s="346"/>
    </row>
    <row r="124" spans="8:12">
      <c r="H124" s="346"/>
      <c r="I124" s="346"/>
      <c r="J124" s="346"/>
      <c r="K124" s="401"/>
      <c r="L124" s="346"/>
    </row>
    <row r="125" spans="8:12">
      <c r="H125" s="346"/>
      <c r="I125" s="346"/>
      <c r="J125" s="346"/>
      <c r="K125" s="401"/>
      <c r="L125" s="346"/>
    </row>
    <row r="126" spans="8:12">
      <c r="H126" s="346"/>
      <c r="I126" s="346"/>
      <c r="J126" s="346"/>
      <c r="K126" s="401"/>
      <c r="L126" s="346"/>
    </row>
    <row r="127" spans="8:12">
      <c r="H127" s="346"/>
      <c r="I127" s="346"/>
      <c r="J127" s="346"/>
      <c r="K127" s="401"/>
      <c r="L127" s="346"/>
    </row>
    <row r="128" spans="8:12">
      <c r="H128" s="346"/>
      <c r="I128" s="346"/>
      <c r="J128" s="346"/>
      <c r="K128" s="401"/>
      <c r="L128" s="346"/>
    </row>
    <row r="129" spans="2:12">
      <c r="H129" s="346"/>
      <c r="I129" s="346"/>
      <c r="J129" s="346"/>
      <c r="K129" s="401"/>
      <c r="L129" s="346"/>
    </row>
    <row r="130" spans="2:12">
      <c r="H130" s="346"/>
      <c r="I130" s="346"/>
      <c r="J130" s="346"/>
      <c r="K130" s="346"/>
      <c r="L130" s="346"/>
    </row>
    <row r="131" spans="2:12">
      <c r="H131" s="346"/>
      <c r="I131" s="346"/>
      <c r="J131" s="346"/>
      <c r="K131" s="346"/>
      <c r="L131" s="346"/>
    </row>
    <row r="132" spans="2:12">
      <c r="H132" s="346"/>
      <c r="I132" s="346"/>
      <c r="J132" s="346"/>
      <c r="K132" s="346"/>
      <c r="L132" s="346"/>
    </row>
    <row r="133" spans="2:12">
      <c r="H133" s="346"/>
      <c r="I133" s="346"/>
      <c r="J133" s="346"/>
      <c r="K133" s="346"/>
      <c r="L133" s="346"/>
    </row>
    <row r="134" spans="2:12">
      <c r="B134" s="346"/>
      <c r="C134" s="346"/>
      <c r="D134" s="346"/>
      <c r="E134" s="346"/>
      <c r="F134" s="346"/>
      <c r="H134" s="346"/>
      <c r="I134" s="346"/>
      <c r="J134" s="346"/>
      <c r="K134" s="346"/>
      <c r="L134" s="346"/>
    </row>
    <row r="135" spans="2:12">
      <c r="B135" s="346"/>
      <c r="C135" s="346"/>
      <c r="D135" s="346"/>
      <c r="E135" s="346"/>
      <c r="F135" s="346"/>
      <c r="H135" s="346"/>
      <c r="I135" s="346"/>
      <c r="J135" s="346"/>
      <c r="K135" s="346"/>
      <c r="L135" s="346"/>
    </row>
    <row r="136" spans="2:12">
      <c r="B136" s="346"/>
      <c r="C136" s="346"/>
      <c r="D136" s="346"/>
      <c r="E136" s="346"/>
      <c r="F136" s="346"/>
      <c r="H136" s="346"/>
      <c r="I136" s="346"/>
      <c r="J136" s="346"/>
      <c r="K136" s="346"/>
      <c r="L136" s="346"/>
    </row>
    <row r="137" spans="2:12">
      <c r="B137" s="346"/>
      <c r="C137" s="346"/>
      <c r="D137" s="346"/>
      <c r="E137" s="346"/>
      <c r="F137" s="346"/>
      <c r="H137" s="346"/>
      <c r="I137" s="346"/>
      <c r="J137" s="346"/>
      <c r="K137" s="346"/>
      <c r="L137" s="346"/>
    </row>
    <row r="138" spans="2:12">
      <c r="B138" s="346"/>
      <c r="C138" s="346"/>
      <c r="D138" s="346"/>
      <c r="E138" s="346"/>
      <c r="F138" s="346"/>
      <c r="H138" s="346"/>
      <c r="I138" s="346"/>
      <c r="J138" s="346"/>
      <c r="K138" s="346"/>
      <c r="L138" s="346"/>
    </row>
    <row r="139" spans="2:12">
      <c r="B139" s="346"/>
      <c r="C139" s="346"/>
      <c r="D139" s="346"/>
      <c r="E139" s="346"/>
      <c r="F139" s="346"/>
      <c r="H139" s="346"/>
      <c r="I139" s="346"/>
      <c r="J139" s="346"/>
      <c r="K139" s="346"/>
      <c r="L139" s="346"/>
    </row>
    <row r="140" spans="2:12">
      <c r="B140" s="346"/>
      <c r="C140" s="346"/>
      <c r="D140" s="346"/>
      <c r="E140" s="346"/>
      <c r="F140" s="346"/>
      <c r="H140" s="346"/>
      <c r="I140" s="346"/>
      <c r="J140" s="346"/>
      <c r="K140" s="346"/>
      <c r="L140" s="346"/>
    </row>
    <row r="141" spans="2:12">
      <c r="B141" s="346"/>
      <c r="C141" s="346"/>
      <c r="D141" s="346"/>
      <c r="E141" s="346"/>
      <c r="F141" s="346"/>
      <c r="H141" s="346"/>
      <c r="I141" s="346"/>
      <c r="J141" s="346"/>
      <c r="K141" s="346"/>
      <c r="L141" s="346"/>
    </row>
    <row r="142" spans="2:12">
      <c r="B142" s="346"/>
      <c r="C142" s="346"/>
      <c r="D142" s="346"/>
      <c r="E142" s="346"/>
      <c r="F142" s="346"/>
      <c r="H142" s="346"/>
      <c r="I142" s="346"/>
      <c r="J142" s="346"/>
      <c r="K142" s="346"/>
      <c r="L142" s="346"/>
    </row>
    <row r="143" spans="2:12">
      <c r="B143" s="346"/>
      <c r="C143" s="346"/>
      <c r="D143" s="346"/>
      <c r="E143" s="346"/>
      <c r="F143" s="346"/>
      <c r="H143" s="346"/>
      <c r="I143" s="346"/>
      <c r="J143" s="346"/>
      <c r="K143" s="346"/>
      <c r="L143" s="346"/>
    </row>
    <row r="144" spans="2:12">
      <c r="B144" s="346"/>
      <c r="C144" s="346"/>
      <c r="D144" s="346"/>
      <c r="E144" s="346"/>
      <c r="F144" s="346"/>
      <c r="H144" s="346"/>
      <c r="I144" s="346"/>
      <c r="J144" s="346"/>
      <c r="K144" s="346"/>
      <c r="L144" s="346"/>
    </row>
    <row r="145" spans="2:12">
      <c r="B145" s="346"/>
      <c r="C145" s="346"/>
      <c r="D145" s="346"/>
      <c r="E145" s="346"/>
      <c r="F145" s="346"/>
      <c r="H145" s="346"/>
      <c r="I145" s="346"/>
      <c r="J145" s="346"/>
      <c r="K145" s="346"/>
      <c r="L145" s="346"/>
    </row>
    <row r="146" spans="2:12">
      <c r="B146" s="346"/>
      <c r="C146" s="346"/>
      <c r="D146" s="346"/>
      <c r="E146" s="346"/>
      <c r="F146" s="346"/>
      <c r="H146" s="346"/>
      <c r="I146" s="346"/>
      <c r="J146" s="346"/>
      <c r="K146" s="346"/>
      <c r="L146" s="346"/>
    </row>
    <row r="147" spans="2:12">
      <c r="B147" s="346"/>
      <c r="C147" s="346"/>
      <c r="D147" s="346"/>
      <c r="E147" s="346"/>
      <c r="F147" s="346"/>
      <c r="H147" s="346"/>
      <c r="I147" s="346"/>
      <c r="J147" s="346"/>
      <c r="K147" s="346"/>
      <c r="L147" s="346"/>
    </row>
    <row r="148" spans="2:12">
      <c r="B148" s="346"/>
      <c r="C148" s="346"/>
      <c r="D148" s="346"/>
      <c r="E148" s="346"/>
      <c r="F148" s="346"/>
      <c r="H148" s="346"/>
      <c r="I148" s="346"/>
      <c r="J148" s="346"/>
      <c r="K148" s="346"/>
      <c r="L148" s="346"/>
    </row>
    <row r="149" spans="2:12">
      <c r="B149" s="346"/>
      <c r="C149" s="346"/>
      <c r="D149" s="346"/>
      <c r="E149" s="346"/>
      <c r="F149" s="346"/>
      <c r="H149" s="346"/>
      <c r="I149" s="346"/>
      <c r="J149" s="346"/>
      <c r="K149" s="346"/>
      <c r="L149" s="346"/>
    </row>
    <row r="150" spans="2:12">
      <c r="B150" s="346"/>
      <c r="C150" s="346"/>
      <c r="D150" s="346"/>
      <c r="E150" s="346"/>
      <c r="F150" s="346"/>
      <c r="H150" s="346"/>
      <c r="I150" s="346"/>
      <c r="J150" s="346"/>
      <c r="K150" s="346"/>
      <c r="L150" s="346"/>
    </row>
    <row r="151" spans="2:12">
      <c r="H151" s="346"/>
      <c r="I151" s="346"/>
      <c r="J151" s="346"/>
      <c r="K151" s="346"/>
      <c r="L151" s="346"/>
    </row>
    <row r="152" spans="2:12">
      <c r="H152" s="346"/>
      <c r="I152" s="346"/>
      <c r="J152" s="346"/>
      <c r="K152" s="346"/>
      <c r="L152" s="346"/>
    </row>
    <row r="153" spans="2:12">
      <c r="H153" s="346"/>
      <c r="I153" s="346"/>
      <c r="J153" s="346"/>
      <c r="K153" s="346"/>
      <c r="L153" s="346"/>
    </row>
    <row r="154" spans="2:12">
      <c r="H154" s="346"/>
      <c r="I154" s="346"/>
      <c r="J154" s="346"/>
      <c r="K154" s="346"/>
      <c r="L154" s="346"/>
    </row>
    <row r="155" spans="2:12">
      <c r="H155" s="346"/>
      <c r="I155" s="346"/>
      <c r="J155" s="346"/>
      <c r="K155" s="346"/>
      <c r="L155" s="346"/>
    </row>
    <row r="156" spans="2:12">
      <c r="H156" s="346"/>
      <c r="I156" s="346"/>
      <c r="J156" s="346"/>
      <c r="K156" s="346"/>
      <c r="L156" s="346"/>
    </row>
    <row r="157" spans="2:12">
      <c r="H157" s="346"/>
      <c r="I157" s="346"/>
      <c r="J157" s="346"/>
      <c r="K157" s="346"/>
      <c r="L157" s="346"/>
    </row>
    <row r="158" spans="2:12">
      <c r="H158" s="346"/>
      <c r="I158" s="346"/>
      <c r="J158" s="346"/>
      <c r="K158" s="346"/>
      <c r="L158" s="346"/>
    </row>
    <row r="159" spans="2:12">
      <c r="H159" s="346"/>
      <c r="I159" s="346"/>
      <c r="J159" s="346"/>
      <c r="K159" s="346"/>
      <c r="L159" s="346"/>
    </row>
    <row r="160" spans="2:12">
      <c r="H160" s="346"/>
      <c r="I160" s="346"/>
      <c r="J160" s="346"/>
      <c r="K160" s="346"/>
      <c r="L160" s="346"/>
    </row>
    <row r="161" spans="8:12">
      <c r="H161" s="346"/>
      <c r="I161" s="346"/>
      <c r="J161" s="346"/>
      <c r="K161" s="346"/>
      <c r="L161" s="346"/>
    </row>
    <row r="162" spans="8:12">
      <c r="H162" s="346"/>
      <c r="I162" s="346"/>
      <c r="J162" s="346"/>
      <c r="K162" s="346"/>
      <c r="L162" s="346"/>
    </row>
    <row r="163" spans="8:12">
      <c r="H163" s="346"/>
      <c r="I163" s="346"/>
      <c r="J163" s="346"/>
      <c r="K163" s="346"/>
      <c r="L163" s="346"/>
    </row>
    <row r="164" spans="8:12">
      <c r="H164" s="346"/>
      <c r="I164" s="346"/>
      <c r="J164" s="346"/>
      <c r="K164" s="346"/>
      <c r="L164" s="346"/>
    </row>
    <row r="165" spans="8:12">
      <c r="H165" s="346"/>
      <c r="I165" s="346"/>
      <c r="J165" s="346"/>
      <c r="K165" s="346"/>
      <c r="L165" s="346"/>
    </row>
    <row r="166" spans="8:12">
      <c r="H166" s="346"/>
      <c r="I166" s="346"/>
      <c r="J166" s="346"/>
      <c r="K166" s="346"/>
      <c r="L166" s="346"/>
    </row>
    <row r="175" spans="8:12">
      <c r="K175" s="391"/>
    </row>
    <row r="176" spans="8:12">
      <c r="K176" s="391"/>
    </row>
    <row r="177" spans="11:11">
      <c r="K177" s="391"/>
    </row>
    <row r="178" spans="11:11">
      <c r="K178" s="391"/>
    </row>
    <row r="179" spans="11:11">
      <c r="K179" s="391"/>
    </row>
    <row r="180" spans="11:11">
      <c r="K180" s="391"/>
    </row>
    <row r="181" spans="11:11">
      <c r="K181" s="391"/>
    </row>
    <row r="182" spans="11:11">
      <c r="K182" s="391"/>
    </row>
    <row r="183" spans="11:11">
      <c r="K183" s="391"/>
    </row>
    <row r="184" spans="11:11">
      <c r="K184" s="391"/>
    </row>
    <row r="185" spans="11:11">
      <c r="K185" s="391"/>
    </row>
    <row r="186" spans="11:11">
      <c r="K186" s="391"/>
    </row>
    <row r="187" spans="11:11">
      <c r="K187" s="391"/>
    </row>
    <row r="188" spans="11:11">
      <c r="K188" s="391"/>
    </row>
  </sheetData>
  <mergeCells count="109">
    <mergeCell ref="B2:F2"/>
    <mergeCell ref="H2:L2"/>
    <mergeCell ref="N2:S2"/>
    <mergeCell ref="B3:F3"/>
    <mergeCell ref="H3:L3"/>
    <mergeCell ref="N3:S3"/>
    <mergeCell ref="B4:F4"/>
    <mergeCell ref="H4:L4"/>
    <mergeCell ref="N4:S4"/>
    <mergeCell ref="B5:F5"/>
    <mergeCell ref="H5:L5"/>
    <mergeCell ref="N5:N6"/>
    <mergeCell ref="O5:O6"/>
    <mergeCell ref="P5:Q6"/>
    <mergeCell ref="R5:R6"/>
    <mergeCell ref="S5:S6"/>
    <mergeCell ref="H6:J6"/>
    <mergeCell ref="H7:J7"/>
    <mergeCell ref="H8:J8"/>
    <mergeCell ref="N8:S8"/>
    <mergeCell ref="H9:J9"/>
    <mergeCell ref="N9:Q9"/>
    <mergeCell ref="H10:J10"/>
    <mergeCell ref="N10:Q10"/>
    <mergeCell ref="H11:L12"/>
    <mergeCell ref="N11:S12"/>
    <mergeCell ref="H13:L13"/>
    <mergeCell ref="N13:S13"/>
    <mergeCell ref="H14:L14"/>
    <mergeCell ref="N14:N15"/>
    <mergeCell ref="O14:O15"/>
    <mergeCell ref="P14:Q15"/>
    <mergeCell ref="R14:R15"/>
    <mergeCell ref="S14:S15"/>
    <mergeCell ref="H15:J15"/>
    <mergeCell ref="B16:D16"/>
    <mergeCell ref="H16:J16"/>
    <mergeCell ref="H17:J17"/>
    <mergeCell ref="N17:S17"/>
    <mergeCell ref="B18:F18"/>
    <mergeCell ref="H18:J18"/>
    <mergeCell ref="B19:F19"/>
    <mergeCell ref="H19:J19"/>
    <mergeCell ref="N19:S19"/>
    <mergeCell ref="H20:L21"/>
    <mergeCell ref="N21:S21"/>
    <mergeCell ref="H22:L22"/>
    <mergeCell ref="N22:Q22"/>
    <mergeCell ref="H23:L23"/>
    <mergeCell ref="N23:Q23"/>
    <mergeCell ref="H24:J24"/>
    <mergeCell ref="N24:S25"/>
    <mergeCell ref="H25:J25"/>
    <mergeCell ref="H26:J26"/>
    <mergeCell ref="N26:S26"/>
    <mergeCell ref="H27:J27"/>
    <mergeCell ref="N27:N28"/>
    <mergeCell ref="O27:O28"/>
    <mergeCell ref="P27:Q28"/>
    <mergeCell ref="R27:R28"/>
    <mergeCell ref="S27:S28"/>
    <mergeCell ref="H28:J28"/>
    <mergeCell ref="H29:L30"/>
    <mergeCell ref="B30:D30"/>
    <mergeCell ref="N30:S30"/>
    <mergeCell ref="B31:F31"/>
    <mergeCell ref="H31:L31"/>
    <mergeCell ref="B32:F32"/>
    <mergeCell ref="H32:L32"/>
    <mergeCell ref="N32:S32"/>
    <mergeCell ref="B33:F33"/>
    <mergeCell ref="H33:J33"/>
    <mergeCell ref="H34:J34"/>
    <mergeCell ref="N34:S34"/>
    <mergeCell ref="H50:J50"/>
    <mergeCell ref="H35:J35"/>
    <mergeCell ref="N35:Q35"/>
    <mergeCell ref="H36:J36"/>
    <mergeCell ref="H37:L38"/>
    <mergeCell ref="B39:D39"/>
    <mergeCell ref="H39:L39"/>
    <mergeCell ref="B40:F40"/>
    <mergeCell ref="H40:L40"/>
    <mergeCell ref="B41:F41"/>
    <mergeCell ref="H41:J41"/>
    <mergeCell ref="B64:F64"/>
    <mergeCell ref="B65:F65"/>
    <mergeCell ref="B72:D72"/>
    <mergeCell ref="N39:S39"/>
    <mergeCell ref="N41:Q41"/>
    <mergeCell ref="N40:S40"/>
    <mergeCell ref="N36:S38"/>
    <mergeCell ref="H51:J51"/>
    <mergeCell ref="B52:D52"/>
    <mergeCell ref="H52:J52"/>
    <mergeCell ref="B53:F53"/>
    <mergeCell ref="H53:L54"/>
    <mergeCell ref="B54:F54"/>
    <mergeCell ref="B55:F55"/>
    <mergeCell ref="B62:D62"/>
    <mergeCell ref="B63:F63"/>
    <mergeCell ref="B42:F42"/>
    <mergeCell ref="H42:J42"/>
    <mergeCell ref="H43:J43"/>
    <mergeCell ref="H44:J44"/>
    <mergeCell ref="H45:L46"/>
    <mergeCell ref="H47:L47"/>
    <mergeCell ref="H48:L48"/>
    <mergeCell ref="H49:J49"/>
  </mergeCells>
  <pageMargins left="0.51181102362204722" right="0.51181102362204722" top="0.78740157480314965" bottom="0.78740157480314965" header="0.31496062992125984" footer="0.31496062992125984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7</vt:i4>
      </vt:variant>
    </vt:vector>
  </HeadingPairs>
  <TitlesOfParts>
    <vt:vector size="19" baseType="lpstr">
      <vt:lpstr>1. Coleta Dom</vt:lpstr>
      <vt:lpstr>2. Coleta Seletiva</vt:lpstr>
      <vt:lpstr>3. Resumo</vt:lpstr>
      <vt:lpstr>4.Enc Sociais</vt:lpstr>
      <vt:lpstr>5.CAGED</vt:lpstr>
      <vt:lpstr>6.BDI</vt:lpstr>
      <vt:lpstr>7. Ton</vt:lpstr>
      <vt:lpstr>8. Horários</vt:lpstr>
      <vt:lpstr>9. Roteiros</vt:lpstr>
      <vt:lpstr>10. Depr</vt:lpstr>
      <vt:lpstr>11. Rem capital</vt:lpstr>
      <vt:lpstr>Tab ANP</vt:lpstr>
      <vt:lpstr>AbaDeprec</vt:lpstr>
      <vt:lpstr>AbaRemun</vt:lpstr>
      <vt:lpstr>'1. Coleta Dom'!Area_de_impressao</vt:lpstr>
      <vt:lpstr>'2. Coleta Seletiva'!Area_de_impressao</vt:lpstr>
      <vt:lpstr>'4.Enc Sociais'!Area_de_impressao</vt:lpstr>
      <vt:lpstr>'1. Coleta Dom'!Titulos_de_impressao</vt:lpstr>
      <vt:lpstr>'2. Coleta Seletiva'!Titulos_de_impressao</vt:lpstr>
    </vt:vector>
  </TitlesOfParts>
  <Company>dmlu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de Custos Coleta e Transporte RSU</dc:title>
  <dc:creator>Flavia Burmeister Martins</dc:creator>
  <cp:lastModifiedBy>Edgar</cp:lastModifiedBy>
  <cp:lastPrinted>2021-07-07T16:33:42Z</cp:lastPrinted>
  <dcterms:created xsi:type="dcterms:W3CDTF">2000-12-13T10:02:50Z</dcterms:created>
  <dcterms:modified xsi:type="dcterms:W3CDTF">2021-07-14T02:52:05Z</dcterms:modified>
</cp:coreProperties>
</file>