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acb2297808d0e1ed/04-PM - SJO/27 - Banheiro publico/"/>
    </mc:Choice>
  </mc:AlternateContent>
  <xr:revisionPtr revIDLastSave="957" documentId="8_{938846C5-4CE9-4353-86F8-A79BE9A11D81}" xr6:coauthVersionLast="47" xr6:coauthVersionMax="47" xr10:uidLastSave="{D595ED07-A80F-4939-A272-827F43AF4F22}"/>
  <bookViews>
    <workbookView xWindow="24" yWindow="24" windowWidth="23016" windowHeight="12336" xr2:uid="{00000000-000D-0000-FFFF-FFFF00000000}"/>
  </bookViews>
  <sheets>
    <sheet name="PO" sheetId="3" r:id="rId1"/>
    <sheet name="CRONOGRAMA" sheetId="4" r:id="rId2"/>
  </sheets>
  <definedNames>
    <definedName name="_xlnm.Print_Titles" localSheetId="0">PO!$7:$8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2" i="3" l="1"/>
  <c r="M71" i="3"/>
  <c r="M70" i="3"/>
  <c r="M68" i="3"/>
  <c r="M67" i="3"/>
  <c r="M66" i="3"/>
  <c r="M65" i="3"/>
  <c r="M61" i="3"/>
  <c r="N61" i="3" s="1"/>
  <c r="M60" i="3"/>
  <c r="M59" i="3"/>
  <c r="M58" i="3"/>
  <c r="M57" i="3"/>
  <c r="M56" i="3"/>
  <c r="M55" i="3"/>
  <c r="M54" i="3"/>
  <c r="M52" i="3"/>
  <c r="M51" i="3"/>
  <c r="M47" i="3"/>
  <c r="M45" i="3"/>
  <c r="M41" i="3"/>
  <c r="M40" i="3"/>
  <c r="M39" i="3"/>
  <c r="M36" i="3"/>
  <c r="M35" i="3"/>
  <c r="M31" i="3"/>
  <c r="M29" i="3"/>
  <c r="M28" i="3"/>
  <c r="M24" i="3"/>
  <c r="M23" i="3"/>
  <c r="M22" i="3"/>
  <c r="O22" i="3" s="1"/>
  <c r="M21" i="3"/>
  <c r="O21" i="3" s="1"/>
  <c r="M17" i="3"/>
  <c r="O17" i="3" s="1"/>
  <c r="M16" i="3"/>
  <c r="O16" i="3" s="1"/>
  <c r="M15" i="3"/>
  <c r="O15" i="3" s="1"/>
  <c r="M11" i="3"/>
  <c r="O11" i="3" s="1"/>
  <c r="M10" i="3"/>
  <c r="O10" i="3" s="1"/>
  <c r="M73" i="3"/>
  <c r="M74" i="3"/>
  <c r="M75" i="3"/>
  <c r="M76" i="3"/>
  <c r="M79" i="3"/>
  <c r="M80" i="3"/>
  <c r="M83" i="3"/>
  <c r="M84" i="3"/>
  <c r="M87" i="3"/>
  <c r="M88" i="3"/>
  <c r="M89" i="3"/>
  <c r="M90" i="3"/>
  <c r="M91" i="3"/>
  <c r="M101" i="3"/>
  <c r="M98" i="3"/>
  <c r="M97" i="3"/>
  <c r="M96" i="3"/>
  <c r="M95" i="3"/>
  <c r="I91" i="3"/>
  <c r="K91" i="3"/>
  <c r="O91" i="3" s="1"/>
  <c r="L91" i="3"/>
  <c r="W91" i="3"/>
  <c r="X91" i="3"/>
  <c r="I59" i="3"/>
  <c r="I68" i="3"/>
  <c r="K68" i="3"/>
  <c r="L68" i="3"/>
  <c r="K60" i="3"/>
  <c r="L60" i="3"/>
  <c r="N60" i="3"/>
  <c r="K61" i="3"/>
  <c r="O61" i="3" s="1"/>
  <c r="L61" i="3"/>
  <c r="L55" i="3"/>
  <c r="K55" i="3"/>
  <c r="I55" i="3"/>
  <c r="L36" i="3"/>
  <c r="K36" i="3"/>
  <c r="I36" i="3"/>
  <c r="L23" i="3"/>
  <c r="K23" i="3"/>
  <c r="I23" i="3"/>
  <c r="N23" i="3" s="1"/>
  <c r="L22" i="3"/>
  <c r="K22" i="3"/>
  <c r="I22" i="3"/>
  <c r="L15" i="3"/>
  <c r="K15" i="3"/>
  <c r="I15" i="3"/>
  <c r="N15" i="3" s="1"/>
  <c r="N68" i="3" l="1"/>
  <c r="O68" i="3"/>
  <c r="O60" i="3"/>
  <c r="N55" i="3"/>
  <c r="N36" i="3"/>
  <c r="N22" i="3"/>
  <c r="O13" i="3"/>
  <c r="O9" i="3"/>
  <c r="P91" i="3"/>
  <c r="N91" i="3"/>
  <c r="P60" i="3"/>
  <c r="P68" i="3"/>
  <c r="P61" i="3"/>
  <c r="P55" i="3"/>
  <c r="O55" i="3"/>
  <c r="P36" i="3"/>
  <c r="O36" i="3"/>
  <c r="P23" i="3"/>
  <c r="P22" i="3"/>
  <c r="O23" i="3"/>
  <c r="P15" i="3"/>
  <c r="S8" i="4" l="1"/>
  <c r="S9" i="4"/>
  <c r="S10" i="4"/>
  <c r="S11" i="4"/>
  <c r="S12" i="4"/>
  <c r="S13" i="4"/>
  <c r="S14" i="4"/>
  <c r="S15" i="4"/>
  <c r="S16" i="4"/>
  <c r="S17" i="4"/>
  <c r="S18" i="4"/>
  <c r="S19" i="4"/>
  <c r="S20" i="4"/>
  <c r="S7" i="4"/>
  <c r="N10" i="3" l="1"/>
  <c r="P10" i="3"/>
  <c r="B20" i="4" l="1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4" i="4"/>
  <c r="B3" i="4"/>
  <c r="B2" i="4"/>
  <c r="X90" i="3" l="1"/>
  <c r="W90" i="3"/>
  <c r="X56" i="3"/>
  <c r="W56" i="3"/>
  <c r="W31" i="3"/>
  <c r="X31" i="3"/>
  <c r="W11" i="3"/>
  <c r="X11" i="3"/>
  <c r="I71" i="3"/>
  <c r="N71" i="3" s="1"/>
  <c r="L11" i="3" l="1"/>
  <c r="K11" i="3"/>
  <c r="I11" i="3"/>
  <c r="I9" i="3" l="1"/>
  <c r="N11" i="3"/>
  <c r="N9" i="3" s="1"/>
  <c r="K9" i="3"/>
  <c r="P11" i="3"/>
  <c r="P9" i="3" s="1"/>
  <c r="I67" i="3"/>
  <c r="N67" i="3" s="1"/>
  <c r="K67" i="3"/>
  <c r="L67" i="3"/>
  <c r="N59" i="3"/>
  <c r="K59" i="3"/>
  <c r="O59" i="3" s="1"/>
  <c r="L59" i="3"/>
  <c r="K71" i="3"/>
  <c r="L71" i="3"/>
  <c r="I72" i="3"/>
  <c r="N72" i="3" s="1"/>
  <c r="I73" i="3"/>
  <c r="N73" i="3" s="1"/>
  <c r="I74" i="3"/>
  <c r="N74" i="3" s="1"/>
  <c r="I75" i="3"/>
  <c r="N75" i="3" s="1"/>
  <c r="I76" i="3"/>
  <c r="N76" i="3" s="1"/>
  <c r="I65" i="3"/>
  <c r="N65" i="3" s="1"/>
  <c r="I66" i="3"/>
  <c r="N66" i="3" s="1"/>
  <c r="I84" i="3"/>
  <c r="N84" i="3" s="1"/>
  <c r="K84" i="3"/>
  <c r="O84" i="3" s="1"/>
  <c r="L84" i="3"/>
  <c r="K88" i="3"/>
  <c r="O88" i="3" s="1"/>
  <c r="K89" i="3"/>
  <c r="O89" i="3" s="1"/>
  <c r="K90" i="3"/>
  <c r="O90" i="3" s="1"/>
  <c r="K87" i="3"/>
  <c r="I88" i="3"/>
  <c r="N88" i="3" s="1"/>
  <c r="L88" i="3"/>
  <c r="I89" i="3"/>
  <c r="N89" i="3" s="1"/>
  <c r="L89" i="3"/>
  <c r="I90" i="3"/>
  <c r="N90" i="3" s="1"/>
  <c r="L90" i="3"/>
  <c r="L65" i="3"/>
  <c r="L66" i="3"/>
  <c r="L70" i="3"/>
  <c r="L72" i="3"/>
  <c r="L73" i="3"/>
  <c r="L74" i="3"/>
  <c r="L75" i="3"/>
  <c r="L76" i="3"/>
  <c r="L52" i="3"/>
  <c r="L54" i="3"/>
  <c r="L56" i="3"/>
  <c r="L57" i="3"/>
  <c r="L58" i="3"/>
  <c r="L47" i="3"/>
  <c r="L40" i="3"/>
  <c r="L41" i="3"/>
  <c r="L29" i="3"/>
  <c r="L31" i="3"/>
  <c r="L24" i="3"/>
  <c r="L16" i="3"/>
  <c r="L17" i="3"/>
  <c r="L21" i="3"/>
  <c r="L28" i="3"/>
  <c r="L35" i="3"/>
  <c r="L39" i="3"/>
  <c r="L45" i="3"/>
  <c r="L51" i="3"/>
  <c r="L80" i="3"/>
  <c r="L79" i="3"/>
  <c r="L83" i="3"/>
  <c r="L87" i="3"/>
  <c r="L96" i="3"/>
  <c r="L97" i="3"/>
  <c r="L98" i="3"/>
  <c r="L95" i="3"/>
  <c r="L101" i="3"/>
  <c r="P67" i="3" l="1"/>
  <c r="O67" i="3"/>
  <c r="K86" i="3"/>
  <c r="O87" i="3"/>
  <c r="P71" i="3"/>
  <c r="O71" i="3"/>
  <c r="C7" i="4"/>
  <c r="D7" i="4"/>
  <c r="P90" i="3"/>
  <c r="P89" i="3"/>
  <c r="P84" i="3"/>
  <c r="P59" i="3"/>
  <c r="P88" i="3"/>
  <c r="O86" i="3" l="1"/>
  <c r="D18" i="4" s="1"/>
  <c r="I7" i="4"/>
  <c r="F7" i="4"/>
  <c r="L7" i="4"/>
  <c r="O7" i="4"/>
  <c r="E7" i="4"/>
  <c r="G7" i="4"/>
  <c r="P7" i="4"/>
  <c r="M7" i="4"/>
  <c r="J7" i="4"/>
  <c r="K76" i="3"/>
  <c r="K75" i="3"/>
  <c r="K74" i="3"/>
  <c r="K73" i="3"/>
  <c r="K66" i="3"/>
  <c r="K65" i="3"/>
  <c r="K51" i="3"/>
  <c r="O51" i="3" s="1"/>
  <c r="K52" i="3"/>
  <c r="O52" i="3" s="1"/>
  <c r="K83" i="3"/>
  <c r="I83" i="3"/>
  <c r="J18" i="4" l="1"/>
  <c r="M18" i="4"/>
  <c r="G18" i="4"/>
  <c r="P18" i="4"/>
  <c r="P66" i="3"/>
  <c r="O66" i="3"/>
  <c r="P73" i="3"/>
  <c r="O73" i="3"/>
  <c r="P76" i="3"/>
  <c r="O76" i="3"/>
  <c r="P74" i="3"/>
  <c r="O74" i="3"/>
  <c r="K82" i="3"/>
  <c r="O83" i="3"/>
  <c r="I82" i="3"/>
  <c r="N83" i="3"/>
  <c r="P65" i="3"/>
  <c r="O65" i="3"/>
  <c r="P75" i="3"/>
  <c r="O75" i="3"/>
  <c r="R7" i="4"/>
  <c r="P83" i="3"/>
  <c r="P82" i="3" s="1"/>
  <c r="I51" i="3"/>
  <c r="N51" i="3" s="1"/>
  <c r="I52" i="3"/>
  <c r="I47" i="3"/>
  <c r="N47" i="3" s="1"/>
  <c r="K47" i="3"/>
  <c r="O47" i="3" s="1"/>
  <c r="C17" i="4" l="1"/>
  <c r="O17" i="4" s="1"/>
  <c r="N82" i="3"/>
  <c r="D17" i="4"/>
  <c r="E17" i="4" s="1"/>
  <c r="O82" i="3"/>
  <c r="P52" i="3"/>
  <c r="N52" i="3"/>
  <c r="F17" i="4"/>
  <c r="P51" i="3"/>
  <c r="P47" i="3"/>
  <c r="I54" i="3"/>
  <c r="N54" i="3" s="1"/>
  <c r="K54" i="3"/>
  <c r="O54" i="3" s="1"/>
  <c r="L17" i="4" l="1"/>
  <c r="M17" i="4"/>
  <c r="G17" i="4"/>
  <c r="I17" i="4"/>
  <c r="J17" i="4"/>
  <c r="P17" i="4"/>
  <c r="R17" i="4"/>
  <c r="P54" i="3"/>
  <c r="K101" i="3"/>
  <c r="I101" i="3"/>
  <c r="K98" i="3"/>
  <c r="O98" i="3" s="1"/>
  <c r="I98" i="3"/>
  <c r="N98" i="3" s="1"/>
  <c r="K97" i="3"/>
  <c r="O97" i="3" s="1"/>
  <c r="I97" i="3"/>
  <c r="N97" i="3" s="1"/>
  <c r="K96" i="3"/>
  <c r="O96" i="3" s="1"/>
  <c r="I96" i="3"/>
  <c r="N96" i="3" s="1"/>
  <c r="K95" i="3"/>
  <c r="O95" i="3" s="1"/>
  <c r="I95" i="3"/>
  <c r="I87" i="3"/>
  <c r="N87" i="3" s="1"/>
  <c r="K80" i="3"/>
  <c r="O80" i="3" s="1"/>
  <c r="O78" i="3" s="1"/>
  <c r="I80" i="3"/>
  <c r="N80" i="3" s="1"/>
  <c r="K79" i="3"/>
  <c r="O79" i="3" s="1"/>
  <c r="I79" i="3"/>
  <c r="N79" i="3" s="1"/>
  <c r="K72" i="3"/>
  <c r="K70" i="3"/>
  <c r="O70" i="3" s="1"/>
  <c r="I70" i="3"/>
  <c r="N70" i="3" s="1"/>
  <c r="N63" i="3" s="1"/>
  <c r="K58" i="3"/>
  <c r="O58" i="3" s="1"/>
  <c r="I58" i="3"/>
  <c r="N58" i="3" s="1"/>
  <c r="K57" i="3"/>
  <c r="O57" i="3" s="1"/>
  <c r="I57" i="3"/>
  <c r="N57" i="3" s="1"/>
  <c r="K56" i="3"/>
  <c r="O56" i="3" s="1"/>
  <c r="I56" i="3"/>
  <c r="K45" i="3"/>
  <c r="O45" i="3" s="1"/>
  <c r="O43" i="3" s="1"/>
  <c r="I45" i="3"/>
  <c r="N45" i="3" s="1"/>
  <c r="N43" i="3" s="1"/>
  <c r="K41" i="3"/>
  <c r="O41" i="3" s="1"/>
  <c r="I41" i="3"/>
  <c r="N41" i="3" s="1"/>
  <c r="K40" i="3"/>
  <c r="O40" i="3" s="1"/>
  <c r="I40" i="3"/>
  <c r="N40" i="3" s="1"/>
  <c r="K39" i="3"/>
  <c r="I39" i="3"/>
  <c r="N39" i="3" s="1"/>
  <c r="K31" i="3"/>
  <c r="O31" i="3" s="1"/>
  <c r="I31" i="3"/>
  <c r="N31" i="3" s="1"/>
  <c r="K29" i="3"/>
  <c r="O29" i="3" s="1"/>
  <c r="I29" i="3"/>
  <c r="N29" i="3" s="1"/>
  <c r="K28" i="3"/>
  <c r="I28" i="3"/>
  <c r="N28" i="3" s="1"/>
  <c r="K35" i="3"/>
  <c r="I35" i="3"/>
  <c r="K24" i="3"/>
  <c r="O24" i="3" s="1"/>
  <c r="O19" i="3" s="1"/>
  <c r="I24" i="3"/>
  <c r="N24" i="3" s="1"/>
  <c r="K21" i="3"/>
  <c r="I21" i="3"/>
  <c r="N21" i="3" s="1"/>
  <c r="K17" i="3"/>
  <c r="I17" i="3"/>
  <c r="N17" i="3" s="1"/>
  <c r="K16" i="3"/>
  <c r="I16" i="3"/>
  <c r="N16" i="3" s="1"/>
  <c r="N38" i="3" l="1"/>
  <c r="C12" i="4" s="1"/>
  <c r="L12" i="4" s="1"/>
  <c r="O49" i="3"/>
  <c r="N26" i="3"/>
  <c r="C10" i="4" s="1"/>
  <c r="N19" i="3"/>
  <c r="N13" i="3"/>
  <c r="N78" i="3"/>
  <c r="C18" i="4"/>
  <c r="I18" i="4" s="1"/>
  <c r="N86" i="3"/>
  <c r="O94" i="3"/>
  <c r="D19" i="4" s="1"/>
  <c r="D13" i="4"/>
  <c r="P13" i="4" s="1"/>
  <c r="D14" i="4"/>
  <c r="P14" i="4" s="1"/>
  <c r="C15" i="4"/>
  <c r="O15" i="4" s="1"/>
  <c r="C9" i="4"/>
  <c r="F9" i="4" s="1"/>
  <c r="P72" i="3"/>
  <c r="O72" i="3"/>
  <c r="O63" i="3" s="1"/>
  <c r="D16" i="4"/>
  <c r="K19" i="3"/>
  <c r="D9" i="4"/>
  <c r="K26" i="3"/>
  <c r="O28" i="3"/>
  <c r="K38" i="3"/>
  <c r="O39" i="3"/>
  <c r="I94" i="3"/>
  <c r="N95" i="3"/>
  <c r="I100" i="3"/>
  <c r="N101" i="3"/>
  <c r="K33" i="3"/>
  <c r="O35" i="3"/>
  <c r="I33" i="3"/>
  <c r="N35" i="3"/>
  <c r="C13" i="4"/>
  <c r="I49" i="3"/>
  <c r="N56" i="3"/>
  <c r="C16" i="4"/>
  <c r="K100" i="3"/>
  <c r="O101" i="3"/>
  <c r="K13" i="3"/>
  <c r="C8" i="4"/>
  <c r="I13" i="3"/>
  <c r="I19" i="3"/>
  <c r="I26" i="3"/>
  <c r="I38" i="3"/>
  <c r="I63" i="3"/>
  <c r="P87" i="3"/>
  <c r="P86" i="3" s="1"/>
  <c r="I86" i="3"/>
  <c r="I43" i="3"/>
  <c r="I78" i="3"/>
  <c r="K94" i="3"/>
  <c r="P29" i="3"/>
  <c r="P31" i="3"/>
  <c r="P40" i="3"/>
  <c r="P45" i="3"/>
  <c r="P43" i="3" s="1"/>
  <c r="K43" i="3"/>
  <c r="P56" i="3"/>
  <c r="K78" i="3"/>
  <c r="K49" i="3"/>
  <c r="K63" i="3"/>
  <c r="P95" i="3"/>
  <c r="P35" i="3"/>
  <c r="P33" i="3" s="1"/>
  <c r="P17" i="3"/>
  <c r="P16" i="3"/>
  <c r="P24" i="3"/>
  <c r="P28" i="3"/>
  <c r="P26" i="3" s="1"/>
  <c r="P21" i="3"/>
  <c r="P97" i="3"/>
  <c r="P101" i="3"/>
  <c r="P100" i="3" s="1"/>
  <c r="P96" i="3"/>
  <c r="P98" i="3"/>
  <c r="P39" i="3"/>
  <c r="P41" i="3"/>
  <c r="P57" i="3"/>
  <c r="P80" i="3"/>
  <c r="P58" i="3"/>
  <c r="P70" i="3"/>
  <c r="P79" i="3"/>
  <c r="P49" i="3" l="1"/>
  <c r="P63" i="3"/>
  <c r="P13" i="3"/>
  <c r="O18" i="4"/>
  <c r="N49" i="3"/>
  <c r="C14" i="4" s="1"/>
  <c r="O38" i="3"/>
  <c r="D12" i="4" s="1"/>
  <c r="C11" i="4"/>
  <c r="F11" i="4" s="1"/>
  <c r="N33" i="3"/>
  <c r="D11" i="4"/>
  <c r="J11" i="4" s="1"/>
  <c r="O33" i="3"/>
  <c r="O26" i="3"/>
  <c r="D10" i="4" s="1"/>
  <c r="F18" i="4"/>
  <c r="E18" i="4"/>
  <c r="L18" i="4"/>
  <c r="O100" i="3"/>
  <c r="D20" i="4" s="1"/>
  <c r="N100" i="3"/>
  <c r="C20" i="4" s="1"/>
  <c r="N94" i="3"/>
  <c r="C19" i="4" s="1"/>
  <c r="I12" i="4"/>
  <c r="O12" i="4"/>
  <c r="F12" i="4"/>
  <c r="M14" i="4"/>
  <c r="J14" i="4"/>
  <c r="F15" i="4"/>
  <c r="M13" i="4"/>
  <c r="G13" i="4"/>
  <c r="J13" i="4"/>
  <c r="L15" i="4"/>
  <c r="I15" i="4"/>
  <c r="G14" i="4"/>
  <c r="I9" i="4"/>
  <c r="O9" i="4"/>
  <c r="L9" i="4"/>
  <c r="D15" i="4"/>
  <c r="E15" i="4" s="1"/>
  <c r="E9" i="4"/>
  <c r="P9" i="4"/>
  <c r="J9" i="4"/>
  <c r="G9" i="4"/>
  <c r="M9" i="4"/>
  <c r="G19" i="4"/>
  <c r="P19" i="4"/>
  <c r="J19" i="4"/>
  <c r="M19" i="4"/>
  <c r="L13" i="4"/>
  <c r="F13" i="4"/>
  <c r="O13" i="4"/>
  <c r="I13" i="4"/>
  <c r="R18" i="4"/>
  <c r="L16" i="4"/>
  <c r="F16" i="4"/>
  <c r="O16" i="4"/>
  <c r="I16" i="4"/>
  <c r="L10" i="4"/>
  <c r="F10" i="4"/>
  <c r="O10" i="4"/>
  <c r="I10" i="4"/>
  <c r="E16" i="4"/>
  <c r="G16" i="4"/>
  <c r="P16" i="4"/>
  <c r="J16" i="4"/>
  <c r="M16" i="4"/>
  <c r="E13" i="4"/>
  <c r="D8" i="4"/>
  <c r="G8" i="4" s="1"/>
  <c r="O8" i="4"/>
  <c r="I8" i="4"/>
  <c r="L8" i="4"/>
  <c r="F8" i="4"/>
  <c r="P38" i="3"/>
  <c r="P94" i="3"/>
  <c r="P19" i="3"/>
  <c r="P78" i="3"/>
  <c r="I20" i="4" l="1"/>
  <c r="L20" i="4"/>
  <c r="F20" i="4"/>
  <c r="O20" i="4"/>
  <c r="F14" i="4"/>
  <c r="F21" i="4" s="1"/>
  <c r="L14" i="4"/>
  <c r="O14" i="4"/>
  <c r="I14" i="4"/>
  <c r="E14" i="4"/>
  <c r="J12" i="4"/>
  <c r="M12" i="4"/>
  <c r="E12" i="4"/>
  <c r="G12" i="4"/>
  <c r="P12" i="4"/>
  <c r="L11" i="4"/>
  <c r="M11" i="4"/>
  <c r="I11" i="4"/>
  <c r="P11" i="4"/>
  <c r="O11" i="4"/>
  <c r="E11" i="4"/>
  <c r="G11" i="4"/>
  <c r="G10" i="4"/>
  <c r="E10" i="4"/>
  <c r="M10" i="4"/>
  <c r="J10" i="4"/>
  <c r="P10" i="4"/>
  <c r="E20" i="4"/>
  <c r="G20" i="4"/>
  <c r="P20" i="4"/>
  <c r="J20" i="4"/>
  <c r="M20" i="4"/>
  <c r="N103" i="3"/>
  <c r="E19" i="4"/>
  <c r="O19" i="4"/>
  <c r="F19" i="4"/>
  <c r="I19" i="4"/>
  <c r="L19" i="4"/>
  <c r="C6" i="4"/>
  <c r="O103" i="3"/>
  <c r="G15" i="4"/>
  <c r="J15" i="4"/>
  <c r="R13" i="4"/>
  <c r="P15" i="4"/>
  <c r="M15" i="4"/>
  <c r="R9" i="4"/>
  <c r="D6" i="4"/>
  <c r="J8" i="4"/>
  <c r="M8" i="4"/>
  <c r="R16" i="4"/>
  <c r="P103" i="3"/>
  <c r="L21" i="4"/>
  <c r="P8" i="4"/>
  <c r="E8" i="4"/>
  <c r="R20" i="4" l="1"/>
  <c r="R11" i="4"/>
  <c r="R14" i="4"/>
  <c r="R12" i="4"/>
  <c r="I21" i="4"/>
  <c r="O21" i="4"/>
  <c r="G21" i="4"/>
  <c r="F22" i="4" s="1"/>
  <c r="R10" i="4"/>
  <c r="P21" i="4"/>
  <c r="E6" i="4"/>
  <c r="R19" i="4"/>
  <c r="J21" i="4"/>
  <c r="M21" i="4"/>
  <c r="L22" i="4" s="1"/>
  <c r="R15" i="4"/>
  <c r="R8" i="4"/>
  <c r="I22" i="4" l="1"/>
  <c r="K21" i="4" s="1"/>
  <c r="O22" i="4"/>
  <c r="Q21" i="4" s="1"/>
  <c r="H21" i="4"/>
  <c r="N21" i="4"/>
  <c r="R21" i="4"/>
</calcChain>
</file>

<file path=xl/sharedStrings.xml><?xml version="1.0" encoding="utf-8"?>
<sst xmlns="http://schemas.openxmlformats.org/spreadsheetml/2006/main" count="343" uniqueCount="201">
  <si>
    <t>un.</t>
  </si>
  <si>
    <t>m²</t>
  </si>
  <si>
    <t>m</t>
  </si>
  <si>
    <t>4.1</t>
  </si>
  <si>
    <t>4.2</t>
  </si>
  <si>
    <t>5.1</t>
  </si>
  <si>
    <t>6.1</t>
  </si>
  <si>
    <t>7.1</t>
  </si>
  <si>
    <t>7.2</t>
  </si>
  <si>
    <t>9.1</t>
  </si>
  <si>
    <t>ÁGUA FRIA</t>
  </si>
  <si>
    <t>13.1</t>
  </si>
  <si>
    <t>14.1</t>
  </si>
  <si>
    <t>Dados do Empreendimento</t>
  </si>
  <si>
    <t>Itens</t>
  </si>
  <si>
    <t>Material</t>
  </si>
  <si>
    <t>Mão de Obra</t>
  </si>
  <si>
    <t>Total por ítem</t>
  </si>
  <si>
    <t>Forma</t>
  </si>
  <si>
    <t>Concreto Fck 25MPa</t>
  </si>
  <si>
    <t>4.1.1</t>
  </si>
  <si>
    <t>4.1.2</t>
  </si>
  <si>
    <t>4.2.1</t>
  </si>
  <si>
    <t>DIRETAS OU SUPERFICIAIS (sapatas, radier, vigas de fundação)</t>
  </si>
  <si>
    <t>m³</t>
  </si>
  <si>
    <t>FUNDAÇÕES - INFRAESTRUTURA</t>
  </si>
  <si>
    <t>ESTRUTURA - SUPRAESTRUTURA</t>
  </si>
  <si>
    <t>kg</t>
  </si>
  <si>
    <t>PAREDES E PAINEIS</t>
  </si>
  <si>
    <t>ALVENARIA</t>
  </si>
  <si>
    <t>5.1.1</t>
  </si>
  <si>
    <t>CONTRAPISOS, PISOS E ARREMATES</t>
  </si>
  <si>
    <t>CERÂMICA</t>
  </si>
  <si>
    <t>Regularização/Nivelamento</t>
  </si>
  <si>
    <t>SOLEIRAS e PEITORIS</t>
  </si>
  <si>
    <t>REVESTIMENTOS INERNOS, EXTERNOS E ESPECIAIS</t>
  </si>
  <si>
    <t>Chapisco</t>
  </si>
  <si>
    <t>Emboço</t>
  </si>
  <si>
    <t>ESQUADRIAS</t>
  </si>
  <si>
    <t>ALUMÍNIO (PORTAS)</t>
  </si>
  <si>
    <t>TUBULAÇÕES</t>
  </si>
  <si>
    <t>Disjuntores</t>
  </si>
  <si>
    <t>ESGOTO</t>
  </si>
  <si>
    <t>PINTURA</t>
  </si>
  <si>
    <t>Selador</t>
  </si>
  <si>
    <t>FORROS</t>
  </si>
  <si>
    <t>COBERTURAS E PROTEÇÕES</t>
  </si>
  <si>
    <t>SERVIÇOS COMPLEMENTARES E FINAIS</t>
  </si>
  <si>
    <t>Limpeza final (entrega da obra)</t>
  </si>
  <si>
    <t>7.1.2</t>
  </si>
  <si>
    <t>7.2.1</t>
  </si>
  <si>
    <t>9.1.2</t>
  </si>
  <si>
    <t>9.3.2</t>
  </si>
  <si>
    <t>9.3.4</t>
  </si>
  <si>
    <t>Serviços /Atividades</t>
  </si>
  <si>
    <t>Tubulações nas alvenarias</t>
  </si>
  <si>
    <t>Unid.</t>
  </si>
  <si>
    <t>Quant.</t>
  </si>
  <si>
    <t>Custo Unit.</t>
  </si>
  <si>
    <t>2.1</t>
  </si>
  <si>
    <t>2.1.3</t>
  </si>
  <si>
    <t>3.1</t>
  </si>
  <si>
    <t>3.1.1</t>
  </si>
  <si>
    <t>3.1.3</t>
  </si>
  <si>
    <t>6.2</t>
  </si>
  <si>
    <t>8.1</t>
  </si>
  <si>
    <t>8.1.1</t>
  </si>
  <si>
    <t>8.1.2</t>
  </si>
  <si>
    <t>8.2</t>
  </si>
  <si>
    <t>8.2.1</t>
  </si>
  <si>
    <t>8.2.3</t>
  </si>
  <si>
    <t>8.2.4</t>
  </si>
  <si>
    <t>8.2.5</t>
  </si>
  <si>
    <t>9.1.4</t>
  </si>
  <si>
    <t>10.1</t>
  </si>
  <si>
    <t>10.3</t>
  </si>
  <si>
    <t>EQUIPAMENTOS SANITÁRIOS</t>
  </si>
  <si>
    <t>SUBTOTAL</t>
  </si>
  <si>
    <t>Estrutura de madeira (fabricação de tesouras + madeira)</t>
  </si>
  <si>
    <t>Vasos sanitários c/ caixa acoplada</t>
  </si>
  <si>
    <t>11.2</t>
  </si>
  <si>
    <t>Prumada tubo PVC soldável 25 mm (fornecimento e instalação)</t>
  </si>
  <si>
    <t>Conexões</t>
  </si>
  <si>
    <t>Conexões (fornecimento e instalação)</t>
  </si>
  <si>
    <t>Tubo de PVC para rede coletora de esgoto, dn 100 mm (fornecimento e instalação)</t>
  </si>
  <si>
    <t>Tubo de PVC para rede coletora de esgoto, dn 40 mm (fornecimento e instalação)</t>
  </si>
  <si>
    <t>9.3.5</t>
  </si>
  <si>
    <t>9.3.6</t>
  </si>
  <si>
    <t>9.3.7</t>
  </si>
  <si>
    <t>Fossa</t>
  </si>
  <si>
    <t>Filtro</t>
  </si>
  <si>
    <t>Sumidouro</t>
  </si>
  <si>
    <t>QUANTITATIVO APROXIMADO DE MATERIAIS E MÃO DE OBRA</t>
  </si>
  <si>
    <t>Granito 3 cm c/ pingadeira assentado com argamassa colante</t>
  </si>
  <si>
    <t>Cidade / UF: São José do Ouro - RS</t>
  </si>
  <si>
    <t>Tijolo furado (9x14x24cm; deitado; argamassa virada em betoneira)</t>
  </si>
  <si>
    <t>12.1</t>
  </si>
  <si>
    <t>13.2</t>
  </si>
  <si>
    <t>13.3</t>
  </si>
  <si>
    <t>13.4</t>
  </si>
  <si>
    <t>Fonte de Referencia</t>
  </si>
  <si>
    <t>Codido de Referencia</t>
  </si>
  <si>
    <t>Data de Referencia</t>
  </si>
  <si>
    <t>B.D.I</t>
  </si>
  <si>
    <t>Total</t>
  </si>
  <si>
    <t>SINAPI</t>
  </si>
  <si>
    <t>ESTRUTURA DE CONTRETO ARMADO</t>
  </si>
  <si>
    <t>99805</t>
  </si>
  <si>
    <t>Total Unit.</t>
  </si>
  <si>
    <t>Calhas (chapa de aço 50 cm)</t>
  </si>
  <si>
    <t>12.2</t>
  </si>
  <si>
    <t>12.3</t>
  </si>
  <si>
    <t>12.4</t>
  </si>
  <si>
    <t>73838/001</t>
  </si>
  <si>
    <t>11.1</t>
  </si>
  <si>
    <t>Pintura acrílica Externa</t>
  </si>
  <si>
    <t>Tubo de PVC para rede coletora de esgoto, dn 50 mm (fornecimento e instalação)</t>
  </si>
  <si>
    <t>9.3.1</t>
  </si>
  <si>
    <t>9.3.3</t>
  </si>
  <si>
    <t>9.2</t>
  </si>
  <si>
    <t>9.1.3</t>
  </si>
  <si>
    <t>INSTALAÇÕES HIDROSANITÁRIAS</t>
  </si>
  <si>
    <t>74131/1</t>
  </si>
  <si>
    <t xml:space="preserve">TOTAL: </t>
  </si>
  <si>
    <t>Telha metalica (c/ içamento)</t>
  </si>
  <si>
    <t>Tomadas e interrruptores - com suporte e placa</t>
  </si>
  <si>
    <t>Eletroduto corrugado instalado em forro</t>
  </si>
  <si>
    <t>8.2.6</t>
  </si>
  <si>
    <t>8.2.7</t>
  </si>
  <si>
    <t>Cabo de cobre isolado 450/750V 2,5mm²</t>
  </si>
  <si>
    <t>8.2.8</t>
  </si>
  <si>
    <t>6.4</t>
  </si>
  <si>
    <t>Revestimento cerâmico para banheiros</t>
  </si>
  <si>
    <t>Placa cerâmica tipo Porcelanato 60 x 60 cm</t>
  </si>
  <si>
    <t>SERVIÇOS PRELIMINARES</t>
  </si>
  <si>
    <t>1.1</t>
  </si>
  <si>
    <t>1.2</t>
  </si>
  <si>
    <t>PLEO/FRANARIN</t>
  </si>
  <si>
    <t>94213</t>
  </si>
  <si>
    <t>SINAENCO</t>
  </si>
  <si>
    <t>VALOR TOTAL</t>
  </si>
  <si>
    <t>CRONOGRAMA FÍSICO FINANCEIRO</t>
  </si>
  <si>
    <t>Item</t>
  </si>
  <si>
    <t>Serviços</t>
  </si>
  <si>
    <t>Valor Material</t>
  </si>
  <si>
    <t>Valor Mão de Obra</t>
  </si>
  <si>
    <t>Valor Total (R$)</t>
  </si>
  <si>
    <t>Mês 01</t>
  </si>
  <si>
    <t>Mês 02</t>
  </si>
  <si>
    <t>Mês 03</t>
  </si>
  <si>
    <t>Mês 04</t>
  </si>
  <si>
    <t>MATERIAL</t>
  </si>
  <si>
    <t>%</t>
  </si>
  <si>
    <t>TOTAL  MENSAL PARCIAL</t>
  </si>
  <si>
    <t>TOTAL MENSAL</t>
  </si>
  <si>
    <t>M.D.O</t>
  </si>
  <si>
    <t>TOTAL</t>
  </si>
  <si>
    <t>Nome do Empreendimento: Banheiro Público</t>
  </si>
  <si>
    <t>Endereço Completo: Praça Honório Corso / Rua Marechal Floriano</t>
  </si>
  <si>
    <t>Data base do orçamento:  SINAPI 06/2021</t>
  </si>
  <si>
    <t>98458</t>
  </si>
  <si>
    <t>TAPUME COM COMPENSADO DE MADEIRA. AF_05/2018</t>
  </si>
  <si>
    <t>93208</t>
  </si>
  <si>
    <t>EXECUÇÃO DE ALMOXARIFADO EM CANTEIRO DE OBRA EM CHAPA DE MADEIRA COMPENSADA, INCLUSO PRATELEIRAS. AF_02/2016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</si>
  <si>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</si>
  <si>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10,0 MM - MONTAGEM. AF_12/2015</t>
  </si>
  <si>
    <t>92759</t>
  </si>
  <si>
    <t>ALVENARIA DE VEDAÇÃO COM ELEMENTO VAZADO DE CERÂMICA (COBOGÓ) DE 7X20X20CM E ARGAMASSA DE ASSENTAMENTO COM PREPARO EM BETONEIRA. AF_05/2020</t>
  </si>
  <si>
    <t>PORTA DE ALUMÍNIO DE ABRIR COM LAMBRI, COM GUARNIÇÃO, FIXAÇÃO COM PARAFUSOS - FORNECIMENTO E INSTALAÇÃO. AF_12/2019</t>
  </si>
  <si>
    <t>INSTALAÇÃO DE VIDRO TEMPERADO, E = 10 MM, ENCAIXADO EM PERFIL U. AF_01/2021_P</t>
  </si>
  <si>
    <t>VIDRO (JANELAS)</t>
  </si>
  <si>
    <t>Plafon Led Quadrado 40x40 Sobrepor Painel 36w 6500k</t>
  </si>
  <si>
    <t>Plafon Led Quadrado 40x40 Sobrepor Painel 18w 6500k</t>
  </si>
  <si>
    <t>INSTALAÇÕES</t>
  </si>
  <si>
    <t>INSTALAÇÕES ELÉTRICAS</t>
  </si>
  <si>
    <t>SENSOR DE PRESENÇA COM FOTOCÉLULA, FIXAÇÃO EM TETO - FORNECIMENTO E INSTALAÇÃO. AF_02/2020</t>
  </si>
  <si>
    <t>97597</t>
  </si>
  <si>
    <t>97596</t>
  </si>
  <si>
    <t>FOTOCÉLULA</t>
  </si>
  <si>
    <t>9.1.5</t>
  </si>
  <si>
    <t>REGISTRO GAVETA COM ACABAMENTO E CANOPLA CROMADOS, SIMPLES, BITOLA 1/2 " (REF 1509)</t>
  </si>
  <si>
    <t>CHAPISCO APLICADO SOMENTE NA ESTRUTURA DE CONCRETO DA FACHADA, COM DESEMPENADEIRA DENTADA. ARGAMASSA INDUSTRIALIZADA COM PREPARO EM MISTURADOR 300 KG. AF_06/2014</t>
  </si>
  <si>
    <t>87911</t>
  </si>
  <si>
    <t>MASSA ÚNICA, PARA RECEBIMENTO DE PINTURA, EM ARGAMASSA TRAÇO 1:2:8, PREPARO MECÂNICO COM BETONEIRA 400L, APLICADA MANUALMENTE EM TETO, ESPESSURA DE 20MM, COM EXECUÇÃO DE TALISCAS. AF_03/2015</t>
  </si>
  <si>
    <t>MICTÓRIO SIFONADO LOUÇA BRANCA  PADRÃO MÉDIO  FORNECIMENTO E INSTALAÇÃO. AF_01/2020</t>
  </si>
  <si>
    <t>100858</t>
  </si>
  <si>
    <t>ESPELHO 6MM</t>
  </si>
  <si>
    <t>102157</t>
  </si>
  <si>
    <t>101876</t>
  </si>
  <si>
    <t>QUADRO DE DISTRIBUIÇÃO DE ENERGIA EM PVC, DE EMBUTIR, SEM BARRAMENTO, PARA 6 DISJUNTORES - FORNECIMENTO E INSTALAÇÃO. AF_10/2020</t>
  </si>
  <si>
    <t>Tubulação PVC 20mm para ramal de entrada</t>
  </si>
  <si>
    <t>12.5</t>
  </si>
  <si>
    <t>73838/002</t>
  </si>
  <si>
    <t>86895</t>
  </si>
  <si>
    <t>BANCADA DE GRANITO CINZA POLIDO, DE 0,50 X 0,60 M, PARA LAVATÓRIO - FORNECIMENTO E INSTALAÇÃO. AF_01/2020</t>
  </si>
  <si>
    <t>86901</t>
  </si>
  <si>
    <t>CUBA DE EMBUTIR OVAL EM LOUÇA BRANCA, 35 X 50CM OU EQUIVALENTE - FORNECIMENTO E INSTALAÇÃO. AF_01/2020</t>
  </si>
  <si>
    <t>um</t>
  </si>
  <si>
    <t>94228</t>
  </si>
  <si>
    <t>Pingadeira em chapa de aço</t>
  </si>
  <si>
    <t>BDI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</si>
</sst>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[$-416]mmm\-yy;@"/>
    <numFmt numFmtId="167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name val="Arial Narrow"/>
      <family val="2"/>
    </font>
    <font>
      <b/>
      <sz val="16"/>
      <name val="Arial Narrow"/>
      <family val="2"/>
    </font>
    <font>
      <i/>
      <sz val="14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  <font>
      <sz val="10"/>
      <name val="Courier New"/>
    </font>
    <font>
      <sz val="1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2" applyFont="1" applyBorder="1"/>
    <xf numFmtId="164" fontId="0" fillId="0" borderId="6" xfId="2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164" fontId="0" fillId="0" borderId="18" xfId="2" applyFont="1" applyBorder="1"/>
    <xf numFmtId="0" fontId="0" fillId="0" borderId="20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164" fontId="0" fillId="0" borderId="17" xfId="2" applyFont="1" applyBorder="1"/>
    <xf numFmtId="0" fontId="0" fillId="0" borderId="1" xfId="0" applyBorder="1" applyAlignment="1">
      <alignment horizontal="right"/>
    </xf>
    <xf numFmtId="0" fontId="0" fillId="0" borderId="5" xfId="0" applyFont="1" applyBorder="1" applyAlignment="1">
      <alignment horizontal="left" vertical="center"/>
    </xf>
    <xf numFmtId="0" fontId="0" fillId="0" borderId="0" xfId="0" applyFont="1"/>
    <xf numFmtId="0" fontId="0" fillId="0" borderId="20" xfId="0" applyFont="1" applyBorder="1" applyAlignment="1">
      <alignment horizontal="left" vertical="center"/>
    </xf>
    <xf numFmtId="0" fontId="0" fillId="0" borderId="18" xfId="0" applyFont="1" applyBorder="1"/>
    <xf numFmtId="0" fontId="0" fillId="0" borderId="18" xfId="0" applyFont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Fill="1" applyBorder="1"/>
    <xf numFmtId="0" fontId="0" fillId="0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2" applyFont="1" applyFill="1" applyBorder="1"/>
    <xf numFmtId="0" fontId="0" fillId="0" borderId="0" xfId="0" applyFont="1" applyFill="1"/>
    <xf numFmtId="0" fontId="1" fillId="0" borderId="1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10" fontId="0" fillId="0" borderId="17" xfId="2" applyNumberFormat="1" applyFont="1" applyBorder="1"/>
    <xf numFmtId="10" fontId="0" fillId="0" borderId="18" xfId="2" applyNumberFormat="1" applyFont="1" applyBorder="1"/>
    <xf numFmtId="10" fontId="1" fillId="0" borderId="18" xfId="0" applyNumberFormat="1" applyFont="1" applyBorder="1" applyAlignment="1">
      <alignment horizontal="left" vertical="center"/>
    </xf>
    <xf numFmtId="10" fontId="1" fillId="0" borderId="18" xfId="0" applyNumberFormat="1" applyFont="1" applyBorder="1" applyAlignment="1">
      <alignment vertical="center"/>
    </xf>
    <xf numFmtId="10" fontId="0" fillId="0" borderId="0" xfId="0" applyNumberFormat="1"/>
    <xf numFmtId="0" fontId="1" fillId="2" borderId="5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10" fontId="1" fillId="2" borderId="18" xfId="0" applyNumberFormat="1" applyFont="1" applyFill="1" applyBorder="1" applyAlignment="1">
      <alignment horizontal="left" vertical="center"/>
    </xf>
    <xf numFmtId="164" fontId="0" fillId="2" borderId="6" xfId="2" applyFont="1" applyFill="1" applyBorder="1"/>
    <xf numFmtId="17" fontId="0" fillId="0" borderId="19" xfId="0" applyNumberFormat="1" applyBorder="1" applyAlignment="1">
      <alignment horizontal="left" vertical="center"/>
    </xf>
    <xf numFmtId="49" fontId="0" fillId="0" borderId="19" xfId="0" applyNumberFormat="1" applyBorder="1" applyAlignment="1">
      <alignment horizontal="left" vertical="center"/>
    </xf>
    <xf numFmtId="49" fontId="0" fillId="0" borderId="18" xfId="0" applyNumberForma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49" fontId="0" fillId="0" borderId="18" xfId="0" applyNumberFormat="1" applyFont="1" applyBorder="1" applyAlignment="1">
      <alignment horizontal="left" vertical="center"/>
    </xf>
    <xf numFmtId="49" fontId="0" fillId="0" borderId="19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0" fontId="0" fillId="0" borderId="26" xfId="0" applyNumberFormat="1" applyBorder="1" applyAlignment="1">
      <alignment horizontal="right"/>
    </xf>
    <xf numFmtId="44" fontId="0" fillId="0" borderId="27" xfId="0" applyNumberFormat="1" applyBorder="1"/>
    <xf numFmtId="0" fontId="0" fillId="0" borderId="19" xfId="0" applyNumberFormat="1" applyBorder="1" applyAlignment="1">
      <alignment horizontal="left" vertical="center"/>
    </xf>
    <xf numFmtId="0" fontId="0" fillId="0" borderId="19" xfId="0" applyNumberFormat="1" applyFont="1" applyBorder="1" applyAlignment="1">
      <alignment horizontal="left" vertical="center"/>
    </xf>
    <xf numFmtId="0" fontId="0" fillId="0" borderId="18" xfId="0" applyNumberFormat="1" applyFont="1" applyBorder="1" applyAlignment="1">
      <alignment horizontal="left" vertical="center"/>
    </xf>
    <xf numFmtId="0" fontId="0" fillId="0" borderId="0" xfId="0" applyNumberFormat="1" applyFont="1" applyAlignment="1">
      <alignment horizontal="left"/>
    </xf>
    <xf numFmtId="0" fontId="0" fillId="0" borderId="19" xfId="0" applyNumberFormat="1" applyFont="1" applyFill="1" applyBorder="1" applyAlignment="1">
      <alignment horizontal="left" vertical="center"/>
    </xf>
    <xf numFmtId="44" fontId="0" fillId="0" borderId="0" xfId="0" applyNumberFormat="1"/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10" fontId="1" fillId="2" borderId="28" xfId="0" applyNumberFormat="1" applyFont="1" applyFill="1" applyBorder="1" applyAlignment="1">
      <alignment horizontal="left" vertical="center"/>
    </xf>
    <xf numFmtId="164" fontId="1" fillId="2" borderId="4" xfId="2" applyFont="1" applyFill="1" applyBorder="1"/>
    <xf numFmtId="49" fontId="5" fillId="0" borderId="19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17" fontId="6" fillId="0" borderId="19" xfId="0" applyNumberFormat="1" applyFont="1" applyBorder="1" applyAlignment="1">
      <alignment horizontal="left" vertical="center"/>
    </xf>
    <xf numFmtId="0" fontId="6" fillId="0" borderId="18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2" applyFont="1" applyBorder="1"/>
    <xf numFmtId="164" fontId="6" fillId="0" borderId="17" xfId="2" applyFont="1" applyBorder="1"/>
    <xf numFmtId="10" fontId="6" fillId="0" borderId="17" xfId="2" applyNumberFormat="1" applyFont="1" applyBorder="1"/>
    <xf numFmtId="164" fontId="6" fillId="0" borderId="6" xfId="2" applyFont="1" applyBorder="1"/>
    <xf numFmtId="44" fontId="6" fillId="0" borderId="0" xfId="0" applyNumberFormat="1" applyFont="1"/>
    <xf numFmtId="0" fontId="6" fillId="0" borderId="0" xfId="0" applyFont="1"/>
    <xf numFmtId="49" fontId="6" fillId="0" borderId="19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9" xfId="0" applyNumberFormat="1" applyFont="1" applyBorder="1" applyAlignment="1">
      <alignment horizontal="left" vertical="center"/>
    </xf>
    <xf numFmtId="0" fontId="8" fillId="0" borderId="0" xfId="1" applyFont="1" applyAlignment="1">
      <alignment vertical="center" wrapText="1"/>
    </xf>
    <xf numFmtId="4" fontId="9" fillId="0" borderId="0" xfId="1" applyNumberFormat="1" applyFont="1" applyAlignment="1" applyProtection="1">
      <alignment horizontal="left" vertical="center" indent="7"/>
      <protection locked="0"/>
    </xf>
    <xf numFmtId="3" fontId="9" fillId="0" borderId="0" xfId="1" applyNumberFormat="1" applyFont="1" applyAlignment="1">
      <alignment vertical="center"/>
    </xf>
    <xf numFmtId="4" fontId="10" fillId="0" borderId="0" xfId="1" applyNumberFormat="1" applyFont="1" applyAlignment="1">
      <alignment horizontal="left" vertical="center"/>
    </xf>
    <xf numFmtId="164" fontId="11" fillId="0" borderId="0" xfId="3" applyFont="1" applyFill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7" fillId="0" borderId="30" xfId="1" applyFont="1" applyBorder="1" applyAlignment="1" applyProtection="1">
      <alignment horizontal="left" vertical="center" indent="1"/>
      <protection locked="0"/>
    </xf>
    <xf numFmtId="0" fontId="13" fillId="0" borderId="30" xfId="1" applyFont="1" applyBorder="1" applyAlignment="1">
      <alignment horizontal="left" vertical="center"/>
    </xf>
    <xf numFmtId="0" fontId="10" fillId="0" borderId="30" xfId="1" applyFont="1" applyBorder="1" applyAlignment="1">
      <alignment horizontal="left" vertical="center"/>
    </xf>
    <xf numFmtId="164" fontId="12" fillId="0" borderId="30" xfId="3" applyFont="1" applyFill="1" applyBorder="1" applyAlignment="1">
      <alignment horizontal="left" vertical="center"/>
    </xf>
    <xf numFmtId="0" fontId="12" fillId="0" borderId="30" xfId="1" applyFont="1" applyBorder="1" applyAlignment="1">
      <alignment horizontal="left" vertical="center"/>
    </xf>
    <xf numFmtId="17" fontId="14" fillId="0" borderId="30" xfId="1" applyNumberFormat="1" applyFont="1" applyBorder="1" applyAlignment="1">
      <alignment horizontal="left" vertical="center"/>
    </xf>
    <xf numFmtId="39" fontId="15" fillId="3" borderId="31" xfId="4" applyNumberFormat="1" applyFont="1" applyFill="1" applyBorder="1" applyAlignment="1">
      <alignment horizontal="left" vertical="center"/>
    </xf>
    <xf numFmtId="39" fontId="15" fillId="3" borderId="0" xfId="4" applyNumberFormat="1" applyFont="1" applyFill="1" applyAlignment="1">
      <alignment horizontal="left" vertical="center"/>
    </xf>
    <xf numFmtId="39" fontId="15" fillId="3" borderId="32" xfId="4" applyNumberFormat="1" applyFont="1" applyFill="1" applyBorder="1" applyAlignment="1">
      <alignment horizontal="center" vertical="center"/>
    </xf>
    <xf numFmtId="39" fontId="15" fillId="3" borderId="33" xfId="4" applyNumberFormat="1" applyFont="1" applyFill="1" applyBorder="1" applyAlignment="1">
      <alignment horizontal="center" vertical="center" wrapText="1"/>
    </xf>
    <xf numFmtId="164" fontId="15" fillId="3" borderId="33" xfId="3" applyFont="1" applyFill="1" applyBorder="1" applyAlignment="1" applyProtection="1">
      <alignment horizontal="center" vertical="center"/>
    </xf>
    <xf numFmtId="38" fontId="10" fillId="4" borderId="2" xfId="5" applyNumberFormat="1" applyFont="1" applyFill="1" applyBorder="1" applyAlignment="1" applyProtection="1">
      <alignment horizontal="center"/>
    </xf>
    <xf numFmtId="38" fontId="10" fillId="4" borderId="3" xfId="5" applyNumberFormat="1" applyFont="1" applyFill="1" applyBorder="1" applyAlignment="1" applyProtection="1">
      <alignment horizontal="left"/>
    </xf>
    <xf numFmtId="0" fontId="10" fillId="4" borderId="24" xfId="4" applyFont="1" applyFill="1" applyBorder="1" applyAlignment="1">
      <alignment horizontal="center" vertical="center"/>
    </xf>
    <xf numFmtId="0" fontId="10" fillId="4" borderId="3" xfId="4" applyFont="1" applyFill="1" applyBorder="1" applyAlignment="1">
      <alignment horizontal="center" vertical="center" wrapText="1"/>
    </xf>
    <xf numFmtId="0" fontId="10" fillId="4" borderId="4" xfId="4" applyFont="1" applyFill="1" applyBorder="1" applyAlignment="1">
      <alignment horizontal="center" vertical="center" wrapText="1"/>
    </xf>
    <xf numFmtId="38" fontId="10" fillId="0" borderId="36" xfId="5" applyNumberFormat="1" applyFont="1" applyFill="1" applyBorder="1" applyAlignment="1" applyProtection="1">
      <alignment horizontal="left"/>
    </xf>
    <xf numFmtId="38" fontId="10" fillId="0" borderId="37" xfId="5" applyNumberFormat="1" applyFont="1" applyFill="1" applyBorder="1" applyAlignment="1" applyProtection="1">
      <alignment horizontal="left"/>
    </xf>
    <xf numFmtId="165" fontId="13" fillId="0" borderId="5" xfId="6" applyFont="1" applyFill="1" applyBorder="1" applyProtection="1"/>
    <xf numFmtId="165" fontId="13" fillId="0" borderId="38" xfId="6" applyFont="1" applyFill="1" applyBorder="1" applyProtection="1"/>
    <xf numFmtId="10" fontId="13" fillId="0" borderId="10" xfId="7" applyNumberFormat="1" applyFont="1" applyFill="1" applyBorder="1" applyAlignment="1" applyProtection="1">
      <alignment horizontal="center" vertical="center"/>
    </xf>
    <xf numFmtId="38" fontId="10" fillId="0" borderId="36" xfId="5" applyNumberFormat="1" applyFont="1" applyFill="1" applyBorder="1" applyAlignment="1" applyProtection="1">
      <alignment horizontal="left" wrapText="1"/>
    </xf>
    <xf numFmtId="38" fontId="10" fillId="0" borderId="37" xfId="5" applyNumberFormat="1" applyFont="1" applyFill="1" applyBorder="1" applyAlignment="1" applyProtection="1">
      <alignment horizontal="left" wrapText="1"/>
    </xf>
    <xf numFmtId="0" fontId="10" fillId="4" borderId="39" xfId="4" applyFont="1" applyFill="1" applyBorder="1"/>
    <xf numFmtId="0" fontId="10" fillId="4" borderId="9" xfId="4" quotePrefix="1" applyFont="1" applyFill="1" applyBorder="1" applyAlignment="1">
      <alignment horizontal="left"/>
    </xf>
    <xf numFmtId="39" fontId="10" fillId="4" borderId="19" xfId="4" applyNumberFormat="1" applyFont="1" applyFill="1" applyBorder="1"/>
    <xf numFmtId="0" fontId="10" fillId="4" borderId="40" xfId="4" applyFont="1" applyFill="1" applyBorder="1"/>
    <xf numFmtId="0" fontId="10" fillId="4" borderId="14" xfId="4" quotePrefix="1" applyFont="1" applyFill="1" applyBorder="1" applyAlignment="1">
      <alignment horizontal="left"/>
    </xf>
    <xf numFmtId="0" fontId="10" fillId="4" borderId="41" xfId="4" quotePrefix="1" applyFont="1" applyFill="1" applyBorder="1" applyAlignment="1">
      <alignment horizontal="left"/>
    </xf>
    <xf numFmtId="0" fontId="10" fillId="4" borderId="21" xfId="4" quotePrefix="1" applyFont="1" applyFill="1" applyBorder="1" applyAlignment="1">
      <alignment horizontal="left"/>
    </xf>
    <xf numFmtId="164" fontId="13" fillId="4" borderId="42" xfId="3" applyFont="1" applyFill="1" applyBorder="1" applyAlignment="1" applyProtection="1"/>
    <xf numFmtId="0" fontId="1" fillId="2" borderId="22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0" fillId="0" borderId="0" xfId="0" applyBorder="1" applyAlignment="1"/>
    <xf numFmtId="10" fontId="1" fillId="0" borderId="45" xfId="0" applyNumberFormat="1" applyFont="1" applyBorder="1" applyAlignment="1">
      <alignment horizontal="center" vertical="center" wrapText="1"/>
    </xf>
    <xf numFmtId="44" fontId="0" fillId="0" borderId="0" xfId="0" applyNumberFormat="1" applyBorder="1"/>
    <xf numFmtId="164" fontId="10" fillId="4" borderId="13" xfId="3" applyFont="1" applyFill="1" applyBorder="1" applyAlignment="1" applyProtection="1">
      <alignment horizontal="center"/>
    </xf>
    <xf numFmtId="0" fontId="10" fillId="4" borderId="37" xfId="4" quotePrefix="1" applyFont="1" applyFill="1" applyBorder="1" applyAlignment="1">
      <alignment horizontal="left"/>
    </xf>
    <xf numFmtId="165" fontId="13" fillId="0" borderId="19" xfId="6" applyFont="1" applyFill="1" applyBorder="1" applyProtection="1"/>
    <xf numFmtId="0" fontId="10" fillId="4" borderId="0" xfId="4" quotePrefix="1" applyFont="1" applyFill="1" applyBorder="1" applyAlignment="1">
      <alignment horizontal="left"/>
    </xf>
    <xf numFmtId="164" fontId="13" fillId="4" borderId="46" xfId="3" applyFont="1" applyFill="1" applyBorder="1" applyProtection="1"/>
    <xf numFmtId="164" fontId="10" fillId="0" borderId="1" xfId="3" applyFont="1" applyFill="1" applyBorder="1" applyAlignment="1" applyProtection="1">
      <alignment horizontal="center"/>
    </xf>
    <xf numFmtId="165" fontId="10" fillId="4" borderId="2" xfId="5" applyFont="1" applyFill="1" applyBorder="1" applyAlignment="1" applyProtection="1">
      <alignment horizontal="center" vertical="center"/>
    </xf>
    <xf numFmtId="165" fontId="13" fillId="0" borderId="29" xfId="6" applyFont="1" applyFill="1" applyBorder="1" applyProtection="1"/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6" fillId="0" borderId="0" xfId="0" applyFont="1" applyAlignment="1">
      <alignment horizontal="left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164" fontId="6" fillId="0" borderId="18" xfId="2" applyFont="1" applyBorder="1"/>
    <xf numFmtId="10" fontId="6" fillId="0" borderId="18" xfId="2" applyNumberFormat="1" applyFont="1" applyBorder="1"/>
    <xf numFmtId="0" fontId="6" fillId="0" borderId="0" xfId="0" applyFont="1" applyBorder="1" applyAlignment="1">
      <alignment horizontal="left" vertical="center"/>
    </xf>
    <xf numFmtId="17" fontId="6" fillId="0" borderId="0" xfId="0" applyNumberFormat="1" applyFont="1" applyBorder="1" applyAlignment="1">
      <alignment horizontal="left" vertical="center"/>
    </xf>
    <xf numFmtId="164" fontId="6" fillId="0" borderId="0" xfId="2" applyFont="1" applyBorder="1"/>
    <xf numFmtId="17" fontId="0" fillId="0" borderId="18" xfId="0" applyNumberForma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6" fillId="0" borderId="20" xfId="0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0" fillId="0" borderId="49" xfId="0" applyBorder="1" applyAlignment="1"/>
    <xf numFmtId="10" fontId="0" fillId="0" borderId="27" xfId="2" applyNumberFormat="1" applyFont="1" applyBorder="1"/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10" fontId="1" fillId="0" borderId="13" xfId="0" applyNumberFormat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166" fontId="15" fillId="3" borderId="34" xfId="4" applyNumberFormat="1" applyFont="1" applyFill="1" applyBorder="1" applyAlignment="1">
      <alignment horizontal="center" vertical="center"/>
    </xf>
    <xf numFmtId="166" fontId="15" fillId="3" borderId="35" xfId="4" applyNumberFormat="1" applyFont="1" applyFill="1" applyBorder="1" applyAlignment="1">
      <alignment horizontal="center" vertical="center"/>
    </xf>
    <xf numFmtId="166" fontId="15" fillId="3" borderId="31" xfId="4" applyNumberFormat="1" applyFont="1" applyFill="1" applyBorder="1" applyAlignment="1">
      <alignment horizontal="center" vertical="center"/>
    </xf>
    <xf numFmtId="167" fontId="15" fillId="3" borderId="47" xfId="4" quotePrefix="1" applyNumberFormat="1" applyFont="1" applyFill="1" applyBorder="1" applyAlignment="1">
      <alignment horizontal="center" vertical="center"/>
    </xf>
    <xf numFmtId="167" fontId="15" fillId="3" borderId="48" xfId="4" quotePrefix="1" applyNumberFormat="1" applyFont="1" applyFill="1" applyBorder="1" applyAlignment="1">
      <alignment horizontal="center" vertical="center"/>
    </xf>
    <xf numFmtId="39" fontId="10" fillId="4" borderId="43" xfId="4" applyNumberFormat="1" applyFont="1" applyFill="1" applyBorder="1" applyAlignment="1">
      <alignment horizontal="center"/>
    </xf>
    <xf numFmtId="39" fontId="10" fillId="4" borderId="44" xfId="4" applyNumberFormat="1" applyFont="1" applyFill="1" applyBorder="1" applyAlignment="1">
      <alignment horizontal="center"/>
    </xf>
    <xf numFmtId="39" fontId="10" fillId="4" borderId="47" xfId="4" applyNumberFormat="1" applyFont="1" applyFill="1" applyBorder="1" applyAlignment="1">
      <alignment horizontal="center" vertical="center"/>
    </xf>
    <xf numFmtId="39" fontId="10" fillId="4" borderId="48" xfId="4" applyNumberFormat="1" applyFont="1" applyFill="1" applyBorder="1" applyAlignment="1">
      <alignment horizontal="center" vertical="center"/>
    </xf>
    <xf numFmtId="39" fontId="10" fillId="4" borderId="40" xfId="4" applyNumberFormat="1" applyFont="1" applyFill="1" applyBorder="1" applyAlignment="1">
      <alignment horizontal="center" vertical="center"/>
    </xf>
    <xf numFmtId="39" fontId="10" fillId="4" borderId="42" xfId="4" applyNumberFormat="1" applyFont="1" applyFill="1" applyBorder="1" applyAlignment="1">
      <alignment horizontal="center" vertical="center"/>
    </xf>
    <xf numFmtId="10" fontId="10" fillId="4" borderId="10" xfId="7" applyNumberFormat="1" applyFont="1" applyFill="1" applyBorder="1" applyAlignment="1" applyProtection="1">
      <alignment horizontal="center" vertical="center"/>
    </xf>
    <xf numFmtId="10" fontId="10" fillId="4" borderId="16" xfId="7" applyNumberFormat="1" applyFont="1" applyFill="1" applyBorder="1" applyAlignment="1" applyProtection="1">
      <alignment horizontal="center" vertical="center"/>
    </xf>
  </cellXfs>
  <cellStyles count="8">
    <cellStyle name="Comma_GMB_Planilha Geral de Orçamento CUSTO" xfId="5" xr:uid="{C28935EF-8410-4E08-B691-8BA7F9E468B6}"/>
    <cellStyle name="Currency" xfId="2" builtinId="4"/>
    <cellStyle name="Moeda 4" xfId="3" xr:uid="{916E5E0F-8845-4050-A3D6-C289690E25D0}"/>
    <cellStyle name="Normal" xfId="0" builtinId="0"/>
    <cellStyle name="Normal 2" xfId="1" xr:uid="{00000000-0005-0000-0000-000002000000}"/>
    <cellStyle name="Normal_JOHNDEERE_Custo_rev5" xfId="4" xr:uid="{893E6905-D7A5-414B-84CB-A9A81C13B8E9}"/>
    <cellStyle name="Porcentagem 2" xfId="7" xr:uid="{11A2DF30-B5FD-4315-AB3F-1AC70D99149A}"/>
    <cellStyle name="Vírgula 2" xfId="6" xr:uid="{95DFD2F2-E942-4E38-8552-E594F9AE37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5"/>
  <sheetViews>
    <sheetView tabSelected="1" zoomScale="85" zoomScaleNormal="85" workbookViewId="0">
      <pane xSplit="1" ySplit="8" topLeftCell="B84" activePane="bottomRight" state="frozen"/>
      <selection pane="topRight" activeCell="B1" sqref="B1"/>
      <selection pane="bottomLeft" activeCell="A9" sqref="A9"/>
      <selection pane="bottomRight" activeCell="K103" sqref="K103"/>
    </sheetView>
  </sheetViews>
  <sheetFormatPr defaultColWidth="60" defaultRowHeight="14.4" outlineLevelRow="1" x14ac:dyDescent="0.3"/>
  <cols>
    <col min="1" max="1" width="7.21875" style="2" bestFit="1" customWidth="1"/>
    <col min="2" max="2" width="18.6640625" style="2" bestFit="1" customWidth="1"/>
    <col min="3" max="3" width="14.109375" style="57" customWidth="1"/>
    <col min="4" max="4" width="11.88671875" style="2" customWidth="1"/>
    <col min="5" max="5" width="21.6640625" customWidth="1"/>
    <col min="6" max="6" width="5.5546875" style="1" bestFit="1" customWidth="1"/>
    <col min="7" max="7" width="7.77734375" bestFit="1" customWidth="1"/>
    <col min="8" max="8" width="12.6640625" bestFit="1" customWidth="1"/>
    <col min="9" max="9" width="13.6640625" customWidth="1"/>
    <col min="10" max="10" width="12.6640625" bestFit="1" customWidth="1"/>
    <col min="11" max="11" width="13.33203125" bestFit="1" customWidth="1"/>
    <col min="12" max="12" width="14.44140625" customWidth="1"/>
    <col min="13" max="13" width="8.44140625" style="45" customWidth="1"/>
    <col min="14" max="14" width="13.6640625" customWidth="1"/>
    <col min="15" max="15" width="16.6640625" bestFit="1" customWidth="1"/>
    <col min="16" max="16" width="15.77734375" customWidth="1"/>
    <col min="17" max="17" width="15.6640625" customWidth="1"/>
    <col min="18" max="18" width="14.88671875" hidden="1" customWidth="1"/>
    <col min="19" max="19" width="6.6640625" hidden="1" customWidth="1"/>
    <col min="20" max="20" width="7.109375" hidden="1" customWidth="1"/>
    <col min="21" max="21" width="12.6640625" hidden="1" customWidth="1"/>
    <col min="22" max="22" width="11.109375" hidden="1" customWidth="1"/>
    <col min="23" max="23" width="12.21875" hidden="1" customWidth="1"/>
    <col min="24" max="24" width="10.5546875" hidden="1" customWidth="1"/>
  </cols>
  <sheetData>
    <row r="1" spans="1:24" ht="15" thickBot="1" x14ac:dyDescent="0.35">
      <c r="A1" s="182" t="s">
        <v>92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24" x14ac:dyDescent="0.3">
      <c r="A2" s="183" t="s">
        <v>13</v>
      </c>
      <c r="B2" s="184"/>
      <c r="C2" s="184"/>
      <c r="D2" s="184"/>
      <c r="E2" s="185"/>
      <c r="F2" s="185"/>
      <c r="G2" s="185"/>
      <c r="H2" s="185"/>
      <c r="I2" s="185"/>
      <c r="J2" s="185"/>
      <c r="K2" s="185"/>
      <c r="L2" s="186"/>
      <c r="M2" s="186"/>
      <c r="N2" s="186"/>
      <c r="O2" s="186"/>
      <c r="P2" s="187"/>
    </row>
    <row r="3" spans="1:24" x14ac:dyDescent="0.3">
      <c r="A3" s="188" t="s">
        <v>157</v>
      </c>
      <c r="B3" s="189"/>
      <c r="C3" s="189"/>
      <c r="D3" s="189"/>
      <c r="E3" s="190"/>
      <c r="F3" s="190"/>
      <c r="G3" s="190"/>
      <c r="H3" s="190"/>
      <c r="I3" s="190"/>
      <c r="J3" s="190"/>
      <c r="K3" s="190"/>
      <c r="L3" s="191"/>
      <c r="M3" s="191"/>
      <c r="N3" s="191"/>
      <c r="O3" s="191"/>
      <c r="P3" s="192"/>
    </row>
    <row r="4" spans="1:24" x14ac:dyDescent="0.3">
      <c r="A4" s="188" t="s">
        <v>158</v>
      </c>
      <c r="B4" s="189"/>
      <c r="C4" s="189"/>
      <c r="D4" s="189"/>
      <c r="E4" s="190"/>
      <c r="F4" s="190"/>
      <c r="G4" s="190"/>
      <c r="H4" s="190"/>
      <c r="I4" s="190"/>
      <c r="J4" s="190"/>
      <c r="K4" s="190"/>
      <c r="L4" s="191"/>
      <c r="M4" s="191"/>
      <c r="N4" s="191"/>
      <c r="O4" s="191"/>
      <c r="P4" s="192"/>
    </row>
    <row r="5" spans="1:24" x14ac:dyDescent="0.3">
      <c r="A5" s="188" t="s">
        <v>94</v>
      </c>
      <c r="B5" s="189"/>
      <c r="C5" s="189"/>
      <c r="D5" s="189"/>
      <c r="E5" s="190"/>
      <c r="F5" s="190"/>
      <c r="G5" s="190"/>
      <c r="H5" s="190"/>
      <c r="I5" s="190"/>
      <c r="J5" s="190"/>
      <c r="K5" s="190"/>
      <c r="L5" s="191"/>
      <c r="M5" s="191"/>
      <c r="N5" s="191"/>
      <c r="O5" s="191"/>
      <c r="P5" s="192"/>
    </row>
    <row r="6" spans="1:24" ht="15" thickBot="1" x14ac:dyDescent="0.35">
      <c r="A6" s="170" t="s">
        <v>159</v>
      </c>
      <c r="B6" s="171"/>
      <c r="C6" s="171"/>
      <c r="D6" s="171"/>
      <c r="E6" s="172"/>
      <c r="F6" s="172"/>
      <c r="G6" s="172"/>
      <c r="H6" s="172"/>
      <c r="I6" s="172"/>
      <c r="J6" s="172"/>
      <c r="K6" s="172"/>
      <c r="L6" s="173"/>
      <c r="M6" s="173"/>
      <c r="N6" s="173"/>
      <c r="O6" s="173"/>
      <c r="P6" s="174"/>
      <c r="U6" t="s">
        <v>139</v>
      </c>
      <c r="V6">
        <v>1.1758900000000001</v>
      </c>
    </row>
    <row r="7" spans="1:24" x14ac:dyDescent="0.3">
      <c r="A7" s="175" t="s">
        <v>14</v>
      </c>
      <c r="B7" s="164" t="s">
        <v>100</v>
      </c>
      <c r="C7" s="166" t="s">
        <v>101</v>
      </c>
      <c r="D7" s="164" t="s">
        <v>102</v>
      </c>
      <c r="E7" s="164" t="s">
        <v>54</v>
      </c>
      <c r="F7" s="177" t="s">
        <v>56</v>
      </c>
      <c r="G7" s="164" t="s">
        <v>57</v>
      </c>
      <c r="H7" s="181" t="s">
        <v>15</v>
      </c>
      <c r="I7" s="181"/>
      <c r="J7" s="181" t="s">
        <v>16</v>
      </c>
      <c r="K7" s="181" t="s">
        <v>16</v>
      </c>
      <c r="L7" s="177" t="s">
        <v>108</v>
      </c>
      <c r="M7" s="168" t="s">
        <v>103</v>
      </c>
      <c r="N7" s="135" t="s">
        <v>15</v>
      </c>
      <c r="O7" s="135" t="s">
        <v>155</v>
      </c>
      <c r="P7" s="179" t="s">
        <v>17</v>
      </c>
    </row>
    <row r="8" spans="1:24" s="1" customFormat="1" ht="15" thickBot="1" x14ac:dyDescent="0.35">
      <c r="A8" s="176"/>
      <c r="B8" s="165"/>
      <c r="C8" s="167"/>
      <c r="D8" s="165"/>
      <c r="E8" s="165"/>
      <c r="F8" s="178"/>
      <c r="G8" s="165"/>
      <c r="H8" s="14" t="s">
        <v>58</v>
      </c>
      <c r="I8" s="14" t="s">
        <v>104</v>
      </c>
      <c r="J8" s="14" t="s">
        <v>58</v>
      </c>
      <c r="K8" s="14" t="s">
        <v>104</v>
      </c>
      <c r="L8" s="178"/>
      <c r="M8" s="169"/>
      <c r="N8" s="14" t="s">
        <v>104</v>
      </c>
      <c r="O8" s="14" t="s">
        <v>104</v>
      </c>
      <c r="P8" s="180"/>
    </row>
    <row r="9" spans="1:24" x14ac:dyDescent="0.3">
      <c r="A9" s="70">
        <v>1</v>
      </c>
      <c r="B9" s="130" t="s">
        <v>134</v>
      </c>
      <c r="C9" s="131"/>
      <c r="D9" s="131"/>
      <c r="E9" s="131"/>
      <c r="F9" s="131"/>
      <c r="G9" s="131"/>
      <c r="H9" s="131"/>
      <c r="I9" s="73">
        <f>SUM(I10:I11)</f>
        <v>11151.0713388</v>
      </c>
      <c r="J9" s="131"/>
      <c r="K9" s="73">
        <f>SUM(K10:K11)</f>
        <v>1448.782952</v>
      </c>
      <c r="L9" s="71" t="s">
        <v>77</v>
      </c>
      <c r="M9" s="72"/>
      <c r="N9" s="73">
        <f t="shared" ref="N9:O9" si="0">SUM(N10:N11)</f>
        <v>13938.84</v>
      </c>
      <c r="O9" s="73">
        <f t="shared" si="0"/>
        <v>1810.98</v>
      </c>
      <c r="P9" s="73">
        <f>SUM(P10:P11)</f>
        <v>15749.82</v>
      </c>
    </row>
    <row r="10" spans="1:24" outlineLevel="1" x14ac:dyDescent="0.3">
      <c r="A10" s="68" t="s">
        <v>135</v>
      </c>
      <c r="B10" s="69" t="s">
        <v>105</v>
      </c>
      <c r="C10" s="88" t="s">
        <v>162</v>
      </c>
      <c r="D10" s="50">
        <v>44348</v>
      </c>
      <c r="E10" s="3" t="s">
        <v>163</v>
      </c>
      <c r="F10" s="4" t="s">
        <v>1</v>
      </c>
      <c r="G10" s="3">
        <v>6.25</v>
      </c>
      <c r="H10" s="5">
        <v>664.84</v>
      </c>
      <c r="I10" s="5">
        <v>1374.5213388000002</v>
      </c>
      <c r="J10" s="5">
        <v>105.96</v>
      </c>
      <c r="K10" s="5">
        <v>254.93295200000003</v>
      </c>
      <c r="L10" s="20">
        <v>1629.4542908000003</v>
      </c>
      <c r="M10" s="41">
        <f>K103</f>
        <v>0.25</v>
      </c>
      <c r="N10" s="6">
        <f>ROUND(($I10)*(1+$M10),2)</f>
        <v>1718.15</v>
      </c>
      <c r="O10" s="6">
        <f>ROUND(($K10)*(1+$M10),2)</f>
        <v>318.67</v>
      </c>
      <c r="P10" s="6">
        <f>ROUND(($K10+$I10)*(1+$M10),2)</f>
        <v>2036.82</v>
      </c>
      <c r="R10" s="69" t="s">
        <v>105</v>
      </c>
      <c r="S10" s="74">
        <v>41598</v>
      </c>
      <c r="T10" s="50">
        <v>43191</v>
      </c>
      <c r="U10" s="5">
        <v>1168.92</v>
      </c>
      <c r="V10" s="5">
        <v>216.8</v>
      </c>
      <c r="W10" s="65">
        <v>1374.5213388000002</v>
      </c>
      <c r="X10" s="65">
        <v>254.93295200000003</v>
      </c>
    </row>
    <row r="11" spans="1:24" outlineLevel="1" x14ac:dyDescent="0.3">
      <c r="A11" s="66" t="s">
        <v>136</v>
      </c>
      <c r="B11" s="146" t="s">
        <v>105</v>
      </c>
      <c r="C11" s="88" t="s">
        <v>160</v>
      </c>
      <c r="D11" s="50">
        <v>44348</v>
      </c>
      <c r="E11" s="147" t="s">
        <v>161</v>
      </c>
      <c r="F11" s="4" t="s">
        <v>1</v>
      </c>
      <c r="G11" s="3">
        <v>105</v>
      </c>
      <c r="H11" s="5">
        <v>93.11</v>
      </c>
      <c r="I11" s="5">
        <f t="shared" ref="I11" si="1">G11*H11</f>
        <v>9776.5499999999993</v>
      </c>
      <c r="J11" s="5">
        <v>11.37</v>
      </c>
      <c r="K11" s="5">
        <f t="shared" ref="K11" si="2">J11*G11</f>
        <v>1193.8499999999999</v>
      </c>
      <c r="L11" s="20">
        <f t="shared" ref="L11" si="3">J11+H11</f>
        <v>104.48</v>
      </c>
      <c r="M11" s="41">
        <f>K103</f>
        <v>0.25</v>
      </c>
      <c r="N11" s="6">
        <f>ROUND(($I11)*(1+$M11),2)</f>
        <v>12220.69</v>
      </c>
      <c r="O11" s="6">
        <f>ROUND(($K11)*(1+$M11),2)</f>
        <v>1492.31</v>
      </c>
      <c r="P11" s="6">
        <f>ROUND((K11+I11)*(1+M11),2)</f>
        <v>13713</v>
      </c>
      <c r="R11" s="67" t="s">
        <v>137</v>
      </c>
      <c r="S11" s="74">
        <v>25101</v>
      </c>
      <c r="T11" s="50">
        <v>43191</v>
      </c>
      <c r="U11" s="5">
        <v>577.32000000000005</v>
      </c>
      <c r="V11" s="5">
        <v>265.36</v>
      </c>
      <c r="W11" s="65">
        <f>U11*$V$6</f>
        <v>678.86481480000009</v>
      </c>
      <c r="X11" s="65">
        <f>V11*$V$6</f>
        <v>312.03417040000005</v>
      </c>
    </row>
    <row r="12" spans="1:24" s="8" customFormat="1" outlineLevel="1" x14ac:dyDescent="0.3">
      <c r="A12" s="12"/>
      <c r="B12" s="39"/>
      <c r="C12" s="52"/>
      <c r="D12" s="39"/>
      <c r="E12" s="9"/>
      <c r="F12" s="10"/>
      <c r="G12" s="9"/>
      <c r="H12" s="11"/>
      <c r="I12" s="11"/>
      <c r="J12" s="11"/>
      <c r="K12" s="11"/>
      <c r="L12" s="11"/>
      <c r="M12" s="42"/>
      <c r="N12" s="11"/>
      <c r="O12" s="11"/>
      <c r="P12" s="6"/>
    </row>
    <row r="13" spans="1:24" x14ac:dyDescent="0.3">
      <c r="A13" s="46">
        <v>2</v>
      </c>
      <c r="B13" s="132" t="s">
        <v>25</v>
      </c>
      <c r="C13" s="133"/>
      <c r="D13" s="133"/>
      <c r="E13" s="133"/>
      <c r="F13" s="133"/>
      <c r="G13" s="133"/>
      <c r="H13" s="133"/>
      <c r="I13" s="49">
        <f>SUM(I14:I17)</f>
        <v>6781.1800000000012</v>
      </c>
      <c r="J13" s="133"/>
      <c r="K13" s="49">
        <f>SUM(K14:K17)</f>
        <v>1032.7330000000002</v>
      </c>
      <c r="L13" s="47" t="s">
        <v>77</v>
      </c>
      <c r="M13" s="48"/>
      <c r="N13" s="49">
        <f t="shared" ref="N13:O13" si="4">SUM(N14:N17)</f>
        <v>8476.4700000000012</v>
      </c>
      <c r="O13" s="49">
        <f t="shared" si="4"/>
        <v>1290.92</v>
      </c>
      <c r="P13" s="49">
        <f>SUM(P14:P17)-0.01</f>
        <v>9767.3900000000012</v>
      </c>
    </row>
    <row r="14" spans="1:24" outlineLevel="1" x14ac:dyDescent="0.3">
      <c r="A14" s="13" t="s">
        <v>59</v>
      </c>
      <c r="B14" s="36"/>
      <c r="C14" s="53"/>
      <c r="D14" s="36"/>
      <c r="E14" s="17" t="s">
        <v>23</v>
      </c>
      <c r="F14" s="18"/>
      <c r="G14" s="18"/>
      <c r="H14" s="18"/>
      <c r="I14" s="18"/>
      <c r="J14" s="18"/>
      <c r="K14" s="19"/>
      <c r="L14" s="18"/>
      <c r="M14" s="44"/>
      <c r="N14" s="18"/>
      <c r="O14" s="19"/>
      <c r="P14" s="6"/>
    </row>
    <row r="15" spans="1:24" outlineLevel="1" x14ac:dyDescent="0.3">
      <c r="A15" s="145">
        <v>50</v>
      </c>
      <c r="B15" s="146" t="s">
        <v>105</v>
      </c>
      <c r="C15" s="60" t="s">
        <v>166</v>
      </c>
      <c r="D15" s="50">
        <v>44348</v>
      </c>
      <c r="E15" s="147" t="s">
        <v>164</v>
      </c>
      <c r="F15" s="4" t="s">
        <v>27</v>
      </c>
      <c r="G15" s="3">
        <v>141.19999999999999</v>
      </c>
      <c r="H15" s="5">
        <v>14.06</v>
      </c>
      <c r="I15" s="5">
        <f>G15*H15</f>
        <v>1985.2719999999999</v>
      </c>
      <c r="J15" s="5">
        <v>3.11</v>
      </c>
      <c r="K15" s="5">
        <f>J15*G15</f>
        <v>439.13199999999995</v>
      </c>
      <c r="L15" s="20">
        <f t="shared" ref="L15" si="5">J15+H15</f>
        <v>17.170000000000002</v>
      </c>
      <c r="M15" s="41">
        <f>K103</f>
        <v>0.25</v>
      </c>
      <c r="N15" s="6">
        <f>ROUND(($I15)*(1+$M15),2)</f>
        <v>2481.59</v>
      </c>
      <c r="O15" s="6">
        <f>ROUND(($K15)*(1+$M15),2)</f>
        <v>548.91999999999996</v>
      </c>
      <c r="P15" s="6">
        <f>ROUND((K15+I15)*(1+M15),2)</f>
        <v>3030.51</v>
      </c>
    </row>
    <row r="16" spans="1:24" outlineLevel="1" x14ac:dyDescent="0.3">
      <c r="A16" s="34">
        <v>50</v>
      </c>
      <c r="B16" s="38" t="s">
        <v>105</v>
      </c>
      <c r="C16" s="60">
        <v>92761</v>
      </c>
      <c r="D16" s="50">
        <v>44348</v>
      </c>
      <c r="E16" s="147" t="s">
        <v>165</v>
      </c>
      <c r="F16" s="4" t="s">
        <v>27</v>
      </c>
      <c r="G16" s="3">
        <v>188.1</v>
      </c>
      <c r="H16" s="5">
        <v>15.46</v>
      </c>
      <c r="I16" s="5">
        <f>G16*H16</f>
        <v>2908.0260000000003</v>
      </c>
      <c r="J16" s="5">
        <v>1.43</v>
      </c>
      <c r="K16" s="5">
        <f>J16*G16</f>
        <v>268.983</v>
      </c>
      <c r="L16" s="20">
        <f t="shared" ref="L16:L17" si="6">J16+H16</f>
        <v>16.89</v>
      </c>
      <c r="M16" s="41">
        <f>K103</f>
        <v>0.25</v>
      </c>
      <c r="N16" s="6">
        <f>ROUND(($I16)*(1+$M16),2)</f>
        <v>3635.03</v>
      </c>
      <c r="O16" s="6">
        <f>ROUND(($K16)*(1+$M16),2)</f>
        <v>336.23</v>
      </c>
      <c r="P16" s="6">
        <f>ROUND((K16+I16)*(1+M16),2)</f>
        <v>3971.26</v>
      </c>
    </row>
    <row r="17" spans="1:24" outlineLevel="1" x14ac:dyDescent="0.3">
      <c r="A17" s="34" t="s">
        <v>60</v>
      </c>
      <c r="B17" s="38" t="s">
        <v>105</v>
      </c>
      <c r="C17" s="60">
        <v>94965</v>
      </c>
      <c r="D17" s="50">
        <v>44348</v>
      </c>
      <c r="E17" s="3" t="s">
        <v>19</v>
      </c>
      <c r="F17" s="4" t="s">
        <v>24</v>
      </c>
      <c r="G17" s="3">
        <v>5.9</v>
      </c>
      <c r="H17" s="5">
        <v>319.98</v>
      </c>
      <c r="I17" s="5">
        <f>G17*H17</f>
        <v>1887.8820000000003</v>
      </c>
      <c r="J17" s="5">
        <v>55.02</v>
      </c>
      <c r="K17" s="5">
        <f>J17*G17</f>
        <v>324.61800000000005</v>
      </c>
      <c r="L17" s="20">
        <f t="shared" si="6"/>
        <v>375</v>
      </c>
      <c r="M17" s="41">
        <f>K103</f>
        <v>0.25</v>
      </c>
      <c r="N17" s="6">
        <f>ROUND(($I17)*(1+$M17),2)</f>
        <v>2359.85</v>
      </c>
      <c r="O17" s="6">
        <f>ROUND(($K17)*(1+$M17),2)</f>
        <v>405.77</v>
      </c>
      <c r="P17" s="6">
        <f>ROUND((K17+I17)*(1+M17),2)</f>
        <v>2765.63</v>
      </c>
    </row>
    <row r="18" spans="1:24" s="8" customFormat="1" outlineLevel="1" x14ac:dyDescent="0.3">
      <c r="A18" s="12"/>
      <c r="B18" s="39"/>
      <c r="C18" s="52"/>
      <c r="D18" s="39"/>
      <c r="E18" s="9"/>
      <c r="F18" s="10"/>
      <c r="G18" s="9"/>
      <c r="H18" s="11"/>
      <c r="I18" s="11"/>
      <c r="J18" s="11"/>
      <c r="K18" s="11"/>
      <c r="L18" s="11"/>
      <c r="M18" s="42"/>
      <c r="N18" s="11"/>
      <c r="O18" s="11"/>
      <c r="P18" s="6"/>
    </row>
    <row r="19" spans="1:24" x14ac:dyDescent="0.3">
      <c r="A19" s="46">
        <v>3</v>
      </c>
      <c r="B19" s="132" t="s">
        <v>26</v>
      </c>
      <c r="C19" s="133"/>
      <c r="D19" s="133"/>
      <c r="E19" s="133"/>
      <c r="F19" s="133"/>
      <c r="G19" s="133"/>
      <c r="H19" s="133"/>
      <c r="I19" s="49">
        <f>SUM(I20:I24)</f>
        <v>13146.889399999998</v>
      </c>
      <c r="J19" s="133"/>
      <c r="K19" s="49">
        <f>SUM(K20:K24)</f>
        <v>1459.8710000000001</v>
      </c>
      <c r="L19" s="47" t="s">
        <v>77</v>
      </c>
      <c r="M19" s="48"/>
      <c r="N19" s="49">
        <f t="shared" ref="N19:O19" si="7">SUM(N20:N24)</f>
        <v>16433.62</v>
      </c>
      <c r="O19" s="49">
        <f t="shared" si="7"/>
        <v>1824.8400000000001</v>
      </c>
      <c r="P19" s="49">
        <f>SUM(P20:P24)</f>
        <v>18258.46</v>
      </c>
    </row>
    <row r="20" spans="1:24" outlineLevel="1" x14ac:dyDescent="0.3">
      <c r="A20" s="13" t="s">
        <v>61</v>
      </c>
      <c r="B20" s="36"/>
      <c r="C20" s="53"/>
      <c r="D20" s="36"/>
      <c r="E20" s="17" t="s">
        <v>106</v>
      </c>
      <c r="F20" s="18"/>
      <c r="G20" s="18"/>
      <c r="H20" s="18"/>
      <c r="I20" s="18"/>
      <c r="J20" s="18"/>
      <c r="K20" s="19"/>
      <c r="L20" s="18"/>
      <c r="M20" s="44"/>
      <c r="N20" s="18"/>
      <c r="O20" s="19"/>
      <c r="P20" s="6"/>
    </row>
    <row r="21" spans="1:24" outlineLevel="1" x14ac:dyDescent="0.3">
      <c r="A21" s="34" t="s">
        <v>62</v>
      </c>
      <c r="B21" s="38" t="s">
        <v>105</v>
      </c>
      <c r="C21" s="60">
        <v>92269</v>
      </c>
      <c r="D21" s="50">
        <v>44348</v>
      </c>
      <c r="E21" s="3" t="s">
        <v>18</v>
      </c>
      <c r="F21" s="4" t="s">
        <v>1</v>
      </c>
      <c r="G21" s="3">
        <v>43.36</v>
      </c>
      <c r="H21" s="5">
        <v>148.88999999999999</v>
      </c>
      <c r="I21" s="5">
        <f>G21*H21</f>
        <v>6455.8703999999989</v>
      </c>
      <c r="J21" s="5">
        <v>16.350000000000001</v>
      </c>
      <c r="K21" s="5">
        <f>J21*G21</f>
        <v>708.93600000000004</v>
      </c>
      <c r="L21" s="20">
        <f>J21+H21</f>
        <v>165.23999999999998</v>
      </c>
      <c r="M21" s="41">
        <f>K103</f>
        <v>0.25</v>
      </c>
      <c r="N21" s="6">
        <f>ROUND(($I21)*(1+$M21),2)</f>
        <v>8069.84</v>
      </c>
      <c r="O21" s="6">
        <f>ROUND(($K21)*(1+$M21),2)</f>
        <v>886.17</v>
      </c>
      <c r="P21" s="6">
        <f>ROUND((K21+I21)*(1+M21),2)</f>
        <v>8956.01</v>
      </c>
    </row>
    <row r="22" spans="1:24" outlineLevel="1" x14ac:dyDescent="0.3">
      <c r="A22" s="145">
        <v>50</v>
      </c>
      <c r="B22" s="146" t="s">
        <v>105</v>
      </c>
      <c r="C22" s="60" t="s">
        <v>166</v>
      </c>
      <c r="D22" s="50">
        <v>44348</v>
      </c>
      <c r="E22" s="147" t="s">
        <v>164</v>
      </c>
      <c r="F22" s="4" t="s">
        <v>27</v>
      </c>
      <c r="G22" s="3">
        <v>98.2</v>
      </c>
      <c r="H22" s="5">
        <v>14.06</v>
      </c>
      <c r="I22" s="5">
        <f>G22*H22</f>
        <v>1380.692</v>
      </c>
      <c r="J22" s="5">
        <v>3.11</v>
      </c>
      <c r="K22" s="5">
        <f>J22*G22</f>
        <v>305.40199999999999</v>
      </c>
      <c r="L22" s="20">
        <f t="shared" ref="L22:L23" si="8">J22+H22</f>
        <v>17.170000000000002</v>
      </c>
      <c r="M22" s="41">
        <f>K103</f>
        <v>0.25</v>
      </c>
      <c r="N22" s="6">
        <f>ROUND(($I22)*(1+$M22),2)</f>
        <v>1725.87</v>
      </c>
      <c r="O22" s="6">
        <f>ROUND(($K22)*(1+$M22),2)</f>
        <v>381.75</v>
      </c>
      <c r="P22" s="6">
        <f>ROUND((K22+I22)*(1+M22),2)</f>
        <v>2107.62</v>
      </c>
    </row>
    <row r="23" spans="1:24" outlineLevel="1" x14ac:dyDescent="0.3">
      <c r="A23" s="145">
        <v>50</v>
      </c>
      <c r="B23" s="146" t="s">
        <v>105</v>
      </c>
      <c r="C23" s="60">
        <v>92761</v>
      </c>
      <c r="D23" s="50">
        <v>44348</v>
      </c>
      <c r="E23" s="147" t="s">
        <v>165</v>
      </c>
      <c r="F23" s="4" t="s">
        <v>27</v>
      </c>
      <c r="G23" s="3">
        <v>291.5</v>
      </c>
      <c r="H23" s="5">
        <v>14.49</v>
      </c>
      <c r="I23" s="5">
        <f>G23*H23</f>
        <v>4223.835</v>
      </c>
      <c r="J23" s="5">
        <v>0.99</v>
      </c>
      <c r="K23" s="5">
        <f>J23*G23</f>
        <v>288.58499999999998</v>
      </c>
      <c r="L23" s="20">
        <f t="shared" si="8"/>
        <v>15.48</v>
      </c>
      <c r="M23" s="41">
        <f>K103</f>
        <v>0.25</v>
      </c>
      <c r="N23" s="6">
        <f>ROUND(($I23)*(1+$M23),2)</f>
        <v>5279.79</v>
      </c>
      <c r="O23" s="6">
        <f>ROUND(($K23)*(1+$M23),2)</f>
        <v>360.73</v>
      </c>
      <c r="P23" s="6">
        <f>ROUND((K23+I23)*(1+M23),2)</f>
        <v>5640.53</v>
      </c>
    </row>
    <row r="24" spans="1:24" outlineLevel="1" x14ac:dyDescent="0.3">
      <c r="A24" s="34" t="s">
        <v>63</v>
      </c>
      <c r="B24" s="38" t="s">
        <v>105</v>
      </c>
      <c r="C24" s="60">
        <v>94965</v>
      </c>
      <c r="D24" s="50">
        <v>44348</v>
      </c>
      <c r="E24" s="3" t="s">
        <v>19</v>
      </c>
      <c r="F24" s="4" t="s">
        <v>24</v>
      </c>
      <c r="G24" s="3">
        <v>3.3</v>
      </c>
      <c r="H24" s="5">
        <v>329.24</v>
      </c>
      <c r="I24" s="5">
        <f>G24*H24</f>
        <v>1086.492</v>
      </c>
      <c r="J24" s="5">
        <v>47.56</v>
      </c>
      <c r="K24" s="5">
        <f>J24*G24</f>
        <v>156.94800000000001</v>
      </c>
      <c r="L24" s="20">
        <f t="shared" ref="L24" si="9">J24+H24</f>
        <v>376.8</v>
      </c>
      <c r="M24" s="41">
        <f>K103</f>
        <v>0.25</v>
      </c>
      <c r="N24" s="6">
        <f t="shared" ref="N24" si="10">ROUND(($I24)*(1+$M24),2)</f>
        <v>1358.12</v>
      </c>
      <c r="O24" s="6">
        <f t="shared" ref="O24" si="11">ROUND(($K24)*(1+$M24),2)</f>
        <v>196.19</v>
      </c>
      <c r="P24" s="6">
        <f t="shared" ref="P24" si="12">ROUND((K24+I24)*(1+M24),2)</f>
        <v>1554.3</v>
      </c>
    </row>
    <row r="25" spans="1:24" s="27" customFormat="1" outlineLevel="1" x14ac:dyDescent="0.3">
      <c r="A25" s="24"/>
      <c r="B25" s="40"/>
      <c r="C25" s="54"/>
      <c r="D25" s="40"/>
      <c r="E25" s="25"/>
      <c r="F25" s="26"/>
      <c r="G25" s="25"/>
      <c r="H25" s="11"/>
      <c r="I25" s="11"/>
      <c r="J25" s="11"/>
      <c r="K25" s="11"/>
      <c r="L25" s="11"/>
      <c r="M25" s="42"/>
      <c r="N25" s="11"/>
      <c r="O25" s="11"/>
      <c r="P25" s="6"/>
    </row>
    <row r="26" spans="1:24" x14ac:dyDescent="0.3">
      <c r="A26" s="46">
        <v>4</v>
      </c>
      <c r="B26" s="132" t="s">
        <v>31</v>
      </c>
      <c r="C26" s="133"/>
      <c r="D26" s="133"/>
      <c r="E26" s="133"/>
      <c r="F26" s="133"/>
      <c r="G26" s="133"/>
      <c r="H26" s="133"/>
      <c r="I26" s="49">
        <f>SUM(I27:I31)</f>
        <v>6740.9314000000004</v>
      </c>
      <c r="J26" s="133"/>
      <c r="K26" s="49">
        <f>SUM(K27:K31)</f>
        <v>939.19460000000004</v>
      </c>
      <c r="L26" s="47" t="s">
        <v>77</v>
      </c>
      <c r="M26" s="48"/>
      <c r="N26" s="49">
        <f t="shared" ref="N26:O26" si="13">SUM(N27:N31)</f>
        <v>8426.16</v>
      </c>
      <c r="O26" s="49">
        <f t="shared" si="13"/>
        <v>1174</v>
      </c>
      <c r="P26" s="49">
        <f>SUM(P27:P31)-0.01</f>
        <v>9600.16</v>
      </c>
    </row>
    <row r="27" spans="1:24" outlineLevel="1" x14ac:dyDescent="0.3">
      <c r="A27" s="13" t="s">
        <v>3</v>
      </c>
      <c r="B27" s="36"/>
      <c r="C27" s="53"/>
      <c r="D27" s="36"/>
      <c r="E27" s="161" t="s">
        <v>32</v>
      </c>
      <c r="F27" s="162"/>
      <c r="G27" s="162"/>
      <c r="H27" s="162"/>
      <c r="I27" s="162"/>
      <c r="J27" s="162"/>
      <c r="K27" s="163"/>
      <c r="L27" s="33"/>
      <c r="M27" s="43"/>
      <c r="N27" s="43"/>
      <c r="O27" s="43"/>
      <c r="P27" s="6"/>
    </row>
    <row r="28" spans="1:24" outlineLevel="1" x14ac:dyDescent="0.3">
      <c r="A28" s="34" t="s">
        <v>20</v>
      </c>
      <c r="B28" s="38" t="s">
        <v>105</v>
      </c>
      <c r="C28" s="60">
        <v>87623</v>
      </c>
      <c r="D28" s="50">
        <v>44348</v>
      </c>
      <c r="E28" s="3" t="s">
        <v>33</v>
      </c>
      <c r="F28" s="4" t="s">
        <v>1</v>
      </c>
      <c r="G28" s="3">
        <v>38.130000000000003</v>
      </c>
      <c r="H28" s="5">
        <v>47.1</v>
      </c>
      <c r="I28" s="5">
        <f>G28*H28</f>
        <v>1795.9230000000002</v>
      </c>
      <c r="J28" s="5">
        <v>7.58</v>
      </c>
      <c r="K28" s="5">
        <f>J28*G28</f>
        <v>289.02540000000005</v>
      </c>
      <c r="L28" s="20">
        <f>J28+H28</f>
        <v>54.68</v>
      </c>
      <c r="M28" s="41">
        <f>K103</f>
        <v>0.25</v>
      </c>
      <c r="N28" s="6">
        <f>ROUND(($I28)*(1+$M28),2)</f>
        <v>2244.9</v>
      </c>
      <c r="O28" s="6">
        <f>ROUND(($K28)*(1+$M28),2)</f>
        <v>361.28</v>
      </c>
      <c r="P28" s="6">
        <f>ROUND((K28+I28)*(1+M28),2)</f>
        <v>2606.19</v>
      </c>
    </row>
    <row r="29" spans="1:24" outlineLevel="1" x14ac:dyDescent="0.3">
      <c r="A29" s="34" t="s">
        <v>21</v>
      </c>
      <c r="B29" s="38" t="s">
        <v>105</v>
      </c>
      <c r="C29" s="60">
        <v>87262</v>
      </c>
      <c r="D29" s="50">
        <v>44348</v>
      </c>
      <c r="E29" s="3" t="s">
        <v>133</v>
      </c>
      <c r="F29" s="4" t="s">
        <v>1</v>
      </c>
      <c r="G29" s="3">
        <v>38.130000000000003</v>
      </c>
      <c r="H29" s="5">
        <v>101.48</v>
      </c>
      <c r="I29" s="5">
        <f>G29*H29</f>
        <v>3869.4324000000006</v>
      </c>
      <c r="J29" s="5">
        <v>12.84</v>
      </c>
      <c r="K29" s="5">
        <f>J29*G29</f>
        <v>489.58920000000001</v>
      </c>
      <c r="L29" s="20">
        <f t="shared" ref="L29:L31" si="14">J29+H29</f>
        <v>114.32000000000001</v>
      </c>
      <c r="M29" s="41">
        <f>K103</f>
        <v>0.25</v>
      </c>
      <c r="N29" s="6">
        <f t="shared" ref="N29:N31" si="15">ROUND(($I29)*(1+$M29),2)</f>
        <v>4836.79</v>
      </c>
      <c r="O29" s="6">
        <f t="shared" ref="O29:O31" si="16">ROUND(($K29)*(1+$M29),2)</f>
        <v>611.99</v>
      </c>
      <c r="P29" s="6">
        <f t="shared" ref="P29:P31" si="17">ROUND((K29+I29)*(1+M29),2)</f>
        <v>5448.78</v>
      </c>
    </row>
    <row r="30" spans="1:24" outlineLevel="1" x14ac:dyDescent="0.3">
      <c r="A30" s="13" t="s">
        <v>4</v>
      </c>
      <c r="B30" s="38"/>
      <c r="C30" s="53"/>
      <c r="D30" s="50"/>
      <c r="E30" s="161" t="s">
        <v>34</v>
      </c>
      <c r="F30" s="162"/>
      <c r="G30" s="162"/>
      <c r="H30" s="162"/>
      <c r="I30" s="162"/>
      <c r="J30" s="162"/>
      <c r="K30" s="163"/>
      <c r="L30" s="20"/>
      <c r="M30" s="41"/>
      <c r="N30" s="41"/>
      <c r="O30" s="41"/>
      <c r="P30" s="6"/>
    </row>
    <row r="31" spans="1:24" s="87" customFormat="1" outlineLevel="1" x14ac:dyDescent="0.3">
      <c r="A31" s="75" t="s">
        <v>22</v>
      </c>
      <c r="B31" s="76" t="s">
        <v>105</v>
      </c>
      <c r="C31" s="90">
        <v>84088</v>
      </c>
      <c r="D31" s="50">
        <v>44348</v>
      </c>
      <c r="E31" s="81" t="s">
        <v>93</v>
      </c>
      <c r="F31" s="80" t="s">
        <v>2</v>
      </c>
      <c r="G31" s="81">
        <v>12.4</v>
      </c>
      <c r="H31" s="82">
        <v>86.74</v>
      </c>
      <c r="I31" s="82">
        <f>G31*H31</f>
        <v>1075.576</v>
      </c>
      <c r="J31" s="82">
        <v>12.95</v>
      </c>
      <c r="K31" s="82">
        <f>J31*G31</f>
        <v>160.57999999999998</v>
      </c>
      <c r="L31" s="83">
        <f t="shared" si="14"/>
        <v>99.69</v>
      </c>
      <c r="M31" s="84">
        <f>K103</f>
        <v>0.25</v>
      </c>
      <c r="N31" s="6">
        <f t="shared" si="15"/>
        <v>1344.47</v>
      </c>
      <c r="O31" s="6">
        <f t="shared" si="16"/>
        <v>200.73</v>
      </c>
      <c r="P31" s="85">
        <f t="shared" si="17"/>
        <v>1545.2</v>
      </c>
      <c r="R31" s="76" t="s">
        <v>105</v>
      </c>
      <c r="S31" s="90">
        <v>84088</v>
      </c>
      <c r="T31" s="78">
        <v>43191</v>
      </c>
      <c r="U31" s="82">
        <v>79.52</v>
      </c>
      <c r="V31" s="82">
        <v>13.56</v>
      </c>
      <c r="W31" s="86">
        <f>U31*$V$6</f>
        <v>93.506772800000007</v>
      </c>
      <c r="X31" s="86">
        <f>V31*$V$6</f>
        <v>15.945068400000002</v>
      </c>
    </row>
    <row r="32" spans="1:24" outlineLevel="1" x14ac:dyDescent="0.3">
      <c r="A32" s="13"/>
      <c r="B32" s="146"/>
      <c r="C32" s="53"/>
      <c r="D32" s="50"/>
      <c r="E32" s="161"/>
      <c r="F32" s="162"/>
      <c r="G32" s="162"/>
      <c r="H32" s="162"/>
      <c r="I32" s="162"/>
      <c r="J32" s="162"/>
      <c r="K32" s="163"/>
      <c r="L32" s="20"/>
      <c r="M32" s="41"/>
      <c r="N32" s="41"/>
      <c r="O32" s="41"/>
      <c r="P32" s="6"/>
    </row>
    <row r="33" spans="1:16" x14ac:dyDescent="0.3">
      <c r="A33" s="46">
        <v>5</v>
      </c>
      <c r="B33" s="132" t="s">
        <v>28</v>
      </c>
      <c r="C33" s="133"/>
      <c r="D33" s="133"/>
      <c r="E33" s="133"/>
      <c r="F33" s="133"/>
      <c r="G33" s="133"/>
      <c r="H33" s="133"/>
      <c r="I33" s="49">
        <f>SUM(I34:I35)</f>
        <v>3525.1800000000003</v>
      </c>
      <c r="J33" s="133"/>
      <c r="K33" s="49">
        <f>SUM(K34:K35)</f>
        <v>2155.7799999999997</v>
      </c>
      <c r="L33" s="47" t="s">
        <v>77</v>
      </c>
      <c r="M33" s="48"/>
      <c r="N33" s="49">
        <f t="shared" ref="N33:O33" si="18">SUM(N34:N36)</f>
        <v>6392.8399999999992</v>
      </c>
      <c r="O33" s="49">
        <f t="shared" si="18"/>
        <v>3848.59</v>
      </c>
      <c r="P33" s="49">
        <f>SUM(P34:P36)+0.02</f>
        <v>10241.43</v>
      </c>
    </row>
    <row r="34" spans="1:16" outlineLevel="1" x14ac:dyDescent="0.3">
      <c r="A34" s="13" t="s">
        <v>5</v>
      </c>
      <c r="B34" s="36"/>
      <c r="C34" s="53"/>
      <c r="D34" s="36"/>
      <c r="E34" s="17" t="s">
        <v>29</v>
      </c>
      <c r="F34" s="18"/>
      <c r="G34" s="18"/>
      <c r="H34" s="18"/>
      <c r="I34" s="18"/>
      <c r="J34" s="18"/>
      <c r="K34" s="19"/>
      <c r="L34" s="18"/>
      <c r="M34" s="44"/>
      <c r="N34" s="18"/>
      <c r="O34" s="19"/>
      <c r="P34" s="6"/>
    </row>
    <row r="35" spans="1:16" outlineLevel="1" x14ac:dyDescent="0.3">
      <c r="A35" s="34" t="s">
        <v>30</v>
      </c>
      <c r="B35" s="38" t="s">
        <v>105</v>
      </c>
      <c r="C35" s="60">
        <v>87521</v>
      </c>
      <c r="D35" s="50">
        <v>44348</v>
      </c>
      <c r="E35" s="3" t="s">
        <v>95</v>
      </c>
      <c r="F35" s="4" t="s">
        <v>1</v>
      </c>
      <c r="G35" s="21">
        <v>82</v>
      </c>
      <c r="H35" s="5">
        <v>42.99</v>
      </c>
      <c r="I35" s="5">
        <f>G35*H35</f>
        <v>3525.1800000000003</v>
      </c>
      <c r="J35" s="5">
        <v>26.29</v>
      </c>
      <c r="K35" s="5">
        <f>J35*G35</f>
        <v>2155.7799999999997</v>
      </c>
      <c r="L35" s="20">
        <f>J35+H35</f>
        <v>69.28</v>
      </c>
      <c r="M35" s="41">
        <f>K103</f>
        <v>0.25</v>
      </c>
      <c r="N35" s="6">
        <f>ROUND(($I35)*(1+$M35),2)</f>
        <v>4406.4799999999996</v>
      </c>
      <c r="O35" s="6">
        <f>ROUND(($K35)*(1+$M35),2)</f>
        <v>2694.73</v>
      </c>
      <c r="P35" s="6">
        <f>ROUND((K35+I35)*(1+M35),2)</f>
        <v>7101.2</v>
      </c>
    </row>
    <row r="36" spans="1:16" outlineLevel="1" x14ac:dyDescent="0.3">
      <c r="A36" s="145" t="s">
        <v>30</v>
      </c>
      <c r="B36" s="146" t="s">
        <v>105</v>
      </c>
      <c r="C36" s="60">
        <v>101162</v>
      </c>
      <c r="D36" s="50">
        <v>44348</v>
      </c>
      <c r="E36" s="3" t="s">
        <v>167</v>
      </c>
      <c r="F36" s="4" t="s">
        <v>1</v>
      </c>
      <c r="G36" s="21">
        <v>20.6</v>
      </c>
      <c r="H36" s="5">
        <v>77.14</v>
      </c>
      <c r="I36" s="5">
        <f>G36*H36</f>
        <v>1589.0840000000001</v>
      </c>
      <c r="J36" s="5">
        <v>44.81</v>
      </c>
      <c r="K36" s="5">
        <f>J36*G36</f>
        <v>923.08600000000013</v>
      </c>
      <c r="L36" s="20">
        <f>J36+H36</f>
        <v>121.95</v>
      </c>
      <c r="M36" s="41">
        <f>K103</f>
        <v>0.25</v>
      </c>
      <c r="N36" s="6">
        <f>ROUND(($I36)*(1+$M36),2)</f>
        <v>1986.36</v>
      </c>
      <c r="O36" s="6">
        <f>ROUND(($K36)*(1+$M36),2)</f>
        <v>1153.8599999999999</v>
      </c>
      <c r="P36" s="6">
        <f>ROUND((K36+I36)*(1+M36),2)</f>
        <v>3140.21</v>
      </c>
    </row>
    <row r="37" spans="1:16" s="8" customFormat="1" outlineLevel="1" x14ac:dyDescent="0.3">
      <c r="A37" s="12"/>
      <c r="B37" s="39"/>
      <c r="C37" s="52"/>
      <c r="D37" s="39"/>
      <c r="E37" s="9"/>
      <c r="F37" s="10"/>
      <c r="G37" s="9"/>
      <c r="H37" s="11"/>
      <c r="I37" s="11"/>
      <c r="J37" s="11"/>
      <c r="K37" s="11"/>
      <c r="L37" s="11"/>
      <c r="M37" s="42"/>
      <c r="N37" s="11"/>
      <c r="O37" s="11"/>
      <c r="P37" s="6"/>
    </row>
    <row r="38" spans="1:16" x14ac:dyDescent="0.3">
      <c r="A38" s="46">
        <v>6</v>
      </c>
      <c r="B38" s="132" t="s">
        <v>35</v>
      </c>
      <c r="C38" s="133"/>
      <c r="D38" s="133"/>
      <c r="E38" s="133"/>
      <c r="F38" s="133"/>
      <c r="G38" s="133"/>
      <c r="H38" s="133"/>
      <c r="I38" s="49">
        <f>SUM(I39:I41)</f>
        <v>11130.880000000001</v>
      </c>
      <c r="J38" s="133"/>
      <c r="K38" s="49">
        <f>SUM(K39:K41)</f>
        <v>3501.68</v>
      </c>
      <c r="L38" s="47" t="s">
        <v>77</v>
      </c>
      <c r="M38" s="48"/>
      <c r="N38" s="49">
        <f t="shared" ref="N38:O38" si="19">SUM(N39:N41)</f>
        <v>13913.6</v>
      </c>
      <c r="O38" s="49">
        <f t="shared" si="19"/>
        <v>4377.1000000000004</v>
      </c>
      <c r="P38" s="49">
        <f>SUM(P39:P41)</f>
        <v>18290.7</v>
      </c>
    </row>
    <row r="39" spans="1:16" outlineLevel="1" x14ac:dyDescent="0.3">
      <c r="A39" s="34" t="s">
        <v>6</v>
      </c>
      <c r="B39" s="38" t="s">
        <v>105</v>
      </c>
      <c r="C39" s="60">
        <v>87905</v>
      </c>
      <c r="D39" s="50">
        <v>44348</v>
      </c>
      <c r="E39" s="3" t="s">
        <v>36</v>
      </c>
      <c r="F39" s="4" t="s">
        <v>1</v>
      </c>
      <c r="G39" s="16">
        <v>164</v>
      </c>
      <c r="H39" s="5">
        <v>2.61</v>
      </c>
      <c r="I39" s="5">
        <f t="shared" ref="I39:I41" si="20">G39*H39</f>
        <v>428.03999999999996</v>
      </c>
      <c r="J39" s="5">
        <v>3.9</v>
      </c>
      <c r="K39" s="5">
        <f t="shared" ref="K39:K41" si="21">J39*G39</f>
        <v>639.6</v>
      </c>
      <c r="L39" s="20">
        <f>J39+H39</f>
        <v>6.51</v>
      </c>
      <c r="M39" s="41">
        <f>K103</f>
        <v>0.25</v>
      </c>
      <c r="N39" s="6">
        <f>ROUND(($I39)*(1+$M39),2)</f>
        <v>535.04999999999995</v>
      </c>
      <c r="O39" s="6">
        <f>ROUND(($K39)*(1+$M39),2)</f>
        <v>799.5</v>
      </c>
      <c r="P39" s="6">
        <f>ROUND((K39+I39)*(1+M39),2)</f>
        <v>1334.55</v>
      </c>
    </row>
    <row r="40" spans="1:16" outlineLevel="1" x14ac:dyDescent="0.3">
      <c r="A40" s="35" t="s">
        <v>64</v>
      </c>
      <c r="B40" s="38" t="s">
        <v>105</v>
      </c>
      <c r="C40" s="60">
        <v>87529</v>
      </c>
      <c r="D40" s="50">
        <v>44348</v>
      </c>
      <c r="E40" s="3" t="s">
        <v>37</v>
      </c>
      <c r="F40" s="4" t="s">
        <v>1</v>
      </c>
      <c r="G40" s="16">
        <v>164</v>
      </c>
      <c r="H40" s="5">
        <v>15.14</v>
      </c>
      <c r="I40" s="5">
        <f t="shared" si="20"/>
        <v>2482.96</v>
      </c>
      <c r="J40" s="5">
        <v>11.11</v>
      </c>
      <c r="K40" s="5">
        <f t="shared" si="21"/>
        <v>1822.04</v>
      </c>
      <c r="L40" s="20">
        <f t="shared" ref="L40:L41" si="22">J40+H40</f>
        <v>26.25</v>
      </c>
      <c r="M40" s="41">
        <f>K103</f>
        <v>0.25</v>
      </c>
      <c r="N40" s="6">
        <f t="shared" ref="N40:N41" si="23">ROUND(($I40)*(1+$M40),2)</f>
        <v>3103.7</v>
      </c>
      <c r="O40" s="6">
        <f t="shared" ref="O40:O41" si="24">ROUND(($K40)*(1+$M40),2)</f>
        <v>2277.5500000000002</v>
      </c>
      <c r="P40" s="6">
        <f t="shared" ref="P40:P41" si="25">ROUND((K40+I40)*(1+M40),2)</f>
        <v>5381.25</v>
      </c>
    </row>
    <row r="41" spans="1:16" outlineLevel="1" x14ac:dyDescent="0.3">
      <c r="A41" s="35" t="s">
        <v>131</v>
      </c>
      <c r="B41" s="38" t="s">
        <v>105</v>
      </c>
      <c r="C41" s="60">
        <v>87262</v>
      </c>
      <c r="D41" s="50">
        <v>44348</v>
      </c>
      <c r="E41" s="3" t="s">
        <v>132</v>
      </c>
      <c r="F41" s="4" t="s">
        <v>1</v>
      </c>
      <c r="G41" s="3">
        <v>81</v>
      </c>
      <c r="H41" s="5">
        <v>101.48</v>
      </c>
      <c r="I41" s="5">
        <f t="shared" si="20"/>
        <v>8219.880000000001</v>
      </c>
      <c r="J41" s="5">
        <v>12.84</v>
      </c>
      <c r="K41" s="5">
        <f t="shared" si="21"/>
        <v>1040.04</v>
      </c>
      <c r="L41" s="20">
        <f t="shared" si="22"/>
        <v>114.32000000000001</v>
      </c>
      <c r="M41" s="41">
        <f>K103</f>
        <v>0.25</v>
      </c>
      <c r="N41" s="6">
        <f t="shared" si="23"/>
        <v>10274.85</v>
      </c>
      <c r="O41" s="6">
        <f t="shared" si="24"/>
        <v>1300.05</v>
      </c>
      <c r="P41" s="6">
        <f t="shared" si="25"/>
        <v>11574.9</v>
      </c>
    </row>
    <row r="42" spans="1:16" s="8" customFormat="1" outlineLevel="1" x14ac:dyDescent="0.3">
      <c r="A42" s="12"/>
      <c r="B42" s="39"/>
      <c r="C42" s="52"/>
      <c r="D42" s="39"/>
      <c r="E42" s="9"/>
      <c r="F42" s="10"/>
      <c r="G42" s="9"/>
      <c r="H42" s="11"/>
      <c r="I42" s="11"/>
      <c r="J42" s="11"/>
      <c r="K42" s="11"/>
      <c r="L42" s="11"/>
      <c r="M42" s="42"/>
      <c r="N42" s="11"/>
      <c r="O42" s="11"/>
      <c r="P42" s="6"/>
    </row>
    <row r="43" spans="1:16" x14ac:dyDescent="0.3">
      <c r="A43" s="46">
        <v>7</v>
      </c>
      <c r="B43" s="132" t="s">
        <v>38</v>
      </c>
      <c r="C43" s="133"/>
      <c r="D43" s="133"/>
      <c r="E43" s="133"/>
      <c r="F43" s="133"/>
      <c r="G43" s="133"/>
      <c r="H43" s="133"/>
      <c r="I43" s="49">
        <f>SUM(I44:I47)</f>
        <v>9316.5354000000007</v>
      </c>
      <c r="J43" s="133"/>
      <c r="K43" s="49">
        <f>SUM(K44:K47)</f>
        <v>313.81200000000001</v>
      </c>
      <c r="L43" s="47" t="s">
        <v>77</v>
      </c>
      <c r="M43" s="48"/>
      <c r="N43" s="49">
        <f t="shared" ref="N43:O43" si="26">SUM(N44:N47)</f>
        <v>11645.67</v>
      </c>
      <c r="O43" s="49">
        <f t="shared" si="26"/>
        <v>392.27000000000004</v>
      </c>
      <c r="P43" s="49">
        <f>SUM(P44:P47)+0.01</f>
        <v>12037.94</v>
      </c>
    </row>
    <row r="44" spans="1:16" s="23" customFormat="1" outlineLevel="1" x14ac:dyDescent="0.3">
      <c r="A44" s="13" t="s">
        <v>7</v>
      </c>
      <c r="B44" s="36"/>
      <c r="C44" s="53"/>
      <c r="D44" s="36"/>
      <c r="E44" s="161" t="s">
        <v>39</v>
      </c>
      <c r="F44" s="162"/>
      <c r="G44" s="162"/>
      <c r="H44" s="162"/>
      <c r="I44" s="162"/>
      <c r="J44" s="162"/>
      <c r="K44" s="163"/>
      <c r="L44" s="33"/>
      <c r="M44" s="43"/>
      <c r="N44" s="43"/>
      <c r="O44" s="43"/>
      <c r="P44" s="6"/>
    </row>
    <row r="45" spans="1:16" s="23" customFormat="1" outlineLevel="1" x14ac:dyDescent="0.3">
      <c r="A45" s="22" t="s">
        <v>49</v>
      </c>
      <c r="B45" s="38" t="s">
        <v>105</v>
      </c>
      <c r="C45" s="61">
        <v>91338</v>
      </c>
      <c r="D45" s="50">
        <v>44348</v>
      </c>
      <c r="E45" s="147" t="s">
        <v>168</v>
      </c>
      <c r="F45" s="15" t="s">
        <v>1</v>
      </c>
      <c r="G45" s="16">
        <v>9.5399999999999991</v>
      </c>
      <c r="H45" s="5">
        <v>769.21</v>
      </c>
      <c r="I45" s="5">
        <f>G45*H45</f>
        <v>7338.2633999999998</v>
      </c>
      <c r="J45" s="5">
        <v>7</v>
      </c>
      <c r="K45" s="5">
        <f>J45*G45</f>
        <v>66.78</v>
      </c>
      <c r="L45" s="20">
        <f>J45+H45</f>
        <v>776.21</v>
      </c>
      <c r="M45" s="41">
        <f>K103</f>
        <v>0.25</v>
      </c>
      <c r="N45" s="6">
        <f>ROUND(($I45)*(1+$M45),2)</f>
        <v>9172.83</v>
      </c>
      <c r="O45" s="6">
        <f>ROUND(($K45)*(1+$M45),2)</f>
        <v>83.48</v>
      </c>
      <c r="P45" s="6">
        <f>ROUND((K45+I45)*(1+M45),2)</f>
        <v>9256.2999999999993</v>
      </c>
    </row>
    <row r="46" spans="1:16" s="23" customFormat="1" outlineLevel="1" x14ac:dyDescent="0.3">
      <c r="A46" s="13" t="s">
        <v>8</v>
      </c>
      <c r="B46" s="36"/>
      <c r="C46" s="53"/>
      <c r="D46" s="36"/>
      <c r="E46" s="161" t="s">
        <v>170</v>
      </c>
      <c r="F46" s="162"/>
      <c r="G46" s="162"/>
      <c r="H46" s="162"/>
      <c r="I46" s="162"/>
      <c r="J46" s="162"/>
      <c r="K46" s="163"/>
      <c r="L46" s="20"/>
      <c r="M46" s="41"/>
      <c r="N46" s="41"/>
      <c r="O46" s="41"/>
      <c r="P46" s="6"/>
    </row>
    <row r="47" spans="1:16" s="23" customFormat="1" outlineLevel="1" x14ac:dyDescent="0.3">
      <c r="A47" s="22" t="s">
        <v>50</v>
      </c>
      <c r="B47" s="38" t="s">
        <v>105</v>
      </c>
      <c r="C47" s="61">
        <v>102181</v>
      </c>
      <c r="D47" s="50">
        <v>44348</v>
      </c>
      <c r="E47" s="16" t="s">
        <v>169</v>
      </c>
      <c r="F47" s="4" t="s">
        <v>1</v>
      </c>
      <c r="G47" s="16">
        <v>7.2</v>
      </c>
      <c r="H47" s="5">
        <v>274.76</v>
      </c>
      <c r="I47" s="5">
        <f>G47*H47</f>
        <v>1978.2719999999999</v>
      </c>
      <c r="J47" s="5">
        <v>34.31</v>
      </c>
      <c r="K47" s="5">
        <f>J47*G47</f>
        <v>247.03200000000001</v>
      </c>
      <c r="L47" s="20">
        <f t="shared" ref="L47" si="27">J47+H47</f>
        <v>309.07</v>
      </c>
      <c r="M47" s="41">
        <f>K103</f>
        <v>0.25</v>
      </c>
      <c r="N47" s="6">
        <f>ROUND(($I47)*(1+$M47),2)</f>
        <v>2472.84</v>
      </c>
      <c r="O47" s="6">
        <f>ROUND(($K47)*(1+$M47),2)</f>
        <v>308.79000000000002</v>
      </c>
      <c r="P47" s="6">
        <f t="shared" ref="P47" si="28">ROUND((K47+I47)*(1+M47),2)</f>
        <v>2781.63</v>
      </c>
    </row>
    <row r="48" spans="1:16" s="27" customFormat="1" outlineLevel="1" x14ac:dyDescent="0.3">
      <c r="A48" s="24"/>
      <c r="B48" s="40"/>
      <c r="C48" s="54"/>
      <c r="D48" s="40"/>
      <c r="E48" s="25"/>
      <c r="F48" s="26"/>
      <c r="G48" s="25"/>
      <c r="H48" s="11"/>
      <c r="I48" s="11"/>
      <c r="J48" s="11"/>
      <c r="K48" s="11"/>
      <c r="L48" s="11"/>
      <c r="M48" s="42"/>
      <c r="N48" s="11"/>
      <c r="O48" s="11"/>
      <c r="P48" s="6"/>
    </row>
    <row r="49" spans="1:24" x14ac:dyDescent="0.3">
      <c r="A49" s="46">
        <v>8</v>
      </c>
      <c r="B49" s="132" t="s">
        <v>174</v>
      </c>
      <c r="C49" s="133"/>
      <c r="D49" s="133"/>
      <c r="E49" s="133"/>
      <c r="F49" s="133"/>
      <c r="G49" s="133"/>
      <c r="H49" s="133"/>
      <c r="I49" s="49">
        <f>SUM(I50:I59)</f>
        <v>2345.5</v>
      </c>
      <c r="J49" s="133"/>
      <c r="K49" s="49">
        <f>SUM(K50:K59)</f>
        <v>433.07000000000005</v>
      </c>
      <c r="L49" s="47" t="s">
        <v>77</v>
      </c>
      <c r="M49" s="48"/>
      <c r="N49" s="49">
        <f t="shared" ref="N49:O49" si="29">SUM(N50:N61)</f>
        <v>2951.01</v>
      </c>
      <c r="O49" s="49">
        <f t="shared" si="29"/>
        <v>548.65</v>
      </c>
      <c r="P49" s="49">
        <f>SUM(P50:P61)+0.02</f>
        <v>3499.6600000000003</v>
      </c>
    </row>
    <row r="50" spans="1:24" s="23" customFormat="1" outlineLevel="1" x14ac:dyDescent="0.3">
      <c r="A50" s="13" t="s">
        <v>65</v>
      </c>
      <c r="B50" s="36"/>
      <c r="C50" s="53"/>
      <c r="D50" s="36"/>
      <c r="E50" s="161" t="s">
        <v>40</v>
      </c>
      <c r="F50" s="162"/>
      <c r="G50" s="162"/>
      <c r="H50" s="162"/>
      <c r="I50" s="162"/>
      <c r="J50" s="162"/>
      <c r="K50" s="163"/>
      <c r="L50" s="33"/>
      <c r="M50" s="43"/>
      <c r="N50" s="43"/>
      <c r="O50" s="43"/>
      <c r="P50" s="6"/>
    </row>
    <row r="51" spans="1:24" s="23" customFormat="1" outlineLevel="1" x14ac:dyDescent="0.3">
      <c r="A51" s="22" t="s">
        <v>66</v>
      </c>
      <c r="B51" s="38" t="s">
        <v>105</v>
      </c>
      <c r="C51" s="61">
        <v>91835</v>
      </c>
      <c r="D51" s="50">
        <v>44348</v>
      </c>
      <c r="E51" s="16" t="s">
        <v>126</v>
      </c>
      <c r="F51" s="15" t="s">
        <v>2</v>
      </c>
      <c r="G51" s="16">
        <v>40</v>
      </c>
      <c r="H51" s="5">
        <v>5.57</v>
      </c>
      <c r="I51" s="5">
        <f>G51*H51</f>
        <v>222.8</v>
      </c>
      <c r="J51" s="5">
        <v>2.96</v>
      </c>
      <c r="K51" s="5">
        <f>J51*G51</f>
        <v>118.4</v>
      </c>
      <c r="L51" s="20">
        <f>J51+H51</f>
        <v>8.5300000000000011</v>
      </c>
      <c r="M51" s="41">
        <f>K103</f>
        <v>0.25</v>
      </c>
      <c r="N51" s="6">
        <f>ROUND(($I51)*(1+$M51),2)</f>
        <v>278.5</v>
      </c>
      <c r="O51" s="6">
        <f>ROUND(($K51)*(1+$M51),2)</f>
        <v>148</v>
      </c>
      <c r="P51" s="6">
        <f>ROUND((K51+I51)*(1+M51),2)</f>
        <v>426.5</v>
      </c>
    </row>
    <row r="52" spans="1:24" s="23" customFormat="1" outlineLevel="1" x14ac:dyDescent="0.3">
      <c r="A52" s="22" t="s">
        <v>67</v>
      </c>
      <c r="B52" s="38" t="s">
        <v>105</v>
      </c>
      <c r="C52" s="61">
        <v>91855</v>
      </c>
      <c r="D52" s="50">
        <v>44348</v>
      </c>
      <c r="E52" s="16" t="s">
        <v>55</v>
      </c>
      <c r="F52" s="15" t="s">
        <v>2</v>
      </c>
      <c r="G52" s="16">
        <v>5</v>
      </c>
      <c r="H52" s="5">
        <v>4.9400000000000004</v>
      </c>
      <c r="I52" s="5">
        <f>G52*H52</f>
        <v>24.700000000000003</v>
      </c>
      <c r="J52" s="5">
        <v>3.88</v>
      </c>
      <c r="K52" s="5">
        <f>J52*G52</f>
        <v>19.399999999999999</v>
      </c>
      <c r="L52" s="20">
        <f t="shared" ref="L52:L58" si="30">J52+H52</f>
        <v>8.82</v>
      </c>
      <c r="M52" s="41">
        <f>K103</f>
        <v>0.25</v>
      </c>
      <c r="N52" s="6">
        <f>ROUND(($I52)*(1+$M52),2)</f>
        <v>30.88</v>
      </c>
      <c r="O52" s="6">
        <f>ROUND(($K52)*(1+$M52),2)</f>
        <v>24.25</v>
      </c>
      <c r="P52" s="6">
        <f t="shared" ref="P52:P60" si="31">ROUND((K52+I52)*(1+M52),2)</f>
        <v>55.13</v>
      </c>
    </row>
    <row r="53" spans="1:24" s="23" customFormat="1" outlineLevel="1" x14ac:dyDescent="0.3">
      <c r="A53" s="13" t="s">
        <v>68</v>
      </c>
      <c r="B53" s="36"/>
      <c r="C53" s="53"/>
      <c r="D53" s="36"/>
      <c r="E53" s="161" t="s">
        <v>173</v>
      </c>
      <c r="F53" s="162"/>
      <c r="G53" s="162"/>
      <c r="H53" s="162"/>
      <c r="I53" s="162"/>
      <c r="J53" s="162"/>
      <c r="K53" s="163"/>
      <c r="L53" s="20"/>
      <c r="M53" s="41"/>
      <c r="N53" s="41"/>
      <c r="O53" s="41"/>
      <c r="P53" s="6"/>
    </row>
    <row r="54" spans="1:24" s="32" customFormat="1" outlineLevel="1" x14ac:dyDescent="0.3">
      <c r="A54" s="29" t="s">
        <v>69</v>
      </c>
      <c r="B54" s="38" t="s">
        <v>105</v>
      </c>
      <c r="C54" s="64">
        <v>100905</v>
      </c>
      <c r="D54" s="50">
        <v>44348</v>
      </c>
      <c r="E54" s="28" t="s">
        <v>172</v>
      </c>
      <c r="F54" s="30" t="s">
        <v>0</v>
      </c>
      <c r="G54" s="28">
        <v>6</v>
      </c>
      <c r="H54" s="31">
        <v>177.92</v>
      </c>
      <c r="I54" s="31">
        <f>G54*H54</f>
        <v>1067.52</v>
      </c>
      <c r="J54" s="31">
        <v>16.88</v>
      </c>
      <c r="K54" s="31">
        <f>J54*G54</f>
        <v>101.28</v>
      </c>
      <c r="L54" s="20">
        <f t="shared" si="30"/>
        <v>194.79999999999998</v>
      </c>
      <c r="M54" s="41">
        <f>K103</f>
        <v>0.25</v>
      </c>
      <c r="N54" s="6">
        <f>ROUND(($I54)*(1+$M54),2)</f>
        <v>1334.4</v>
      </c>
      <c r="O54" s="6">
        <f>ROUND(($K54)*(1+$M54),2)</f>
        <v>126.6</v>
      </c>
      <c r="P54" s="6">
        <f t="shared" si="31"/>
        <v>1461</v>
      </c>
    </row>
    <row r="55" spans="1:24" s="32" customFormat="1" outlineLevel="1" x14ac:dyDescent="0.3">
      <c r="A55" s="29" t="s">
        <v>69</v>
      </c>
      <c r="B55" s="146" t="s">
        <v>105</v>
      </c>
      <c r="C55" s="64">
        <v>100906</v>
      </c>
      <c r="D55" s="50">
        <v>44348</v>
      </c>
      <c r="E55" s="28" t="s">
        <v>171</v>
      </c>
      <c r="F55" s="30" t="s">
        <v>0</v>
      </c>
      <c r="G55" s="28">
        <v>2</v>
      </c>
      <c r="H55" s="31">
        <v>249.52</v>
      </c>
      <c r="I55" s="31">
        <f>G55*H55</f>
        <v>499.04</v>
      </c>
      <c r="J55" s="31">
        <v>16.88</v>
      </c>
      <c r="K55" s="31">
        <f>J55*G55</f>
        <v>33.76</v>
      </c>
      <c r="L55" s="20">
        <f t="shared" ref="L55" si="32">J55+H55</f>
        <v>266.40000000000003</v>
      </c>
      <c r="M55" s="41">
        <f>K103</f>
        <v>0.25</v>
      </c>
      <c r="N55" s="6">
        <f>ROUND(($I55)*(1+$M55),2)</f>
        <v>623.79999999999995</v>
      </c>
      <c r="O55" s="6">
        <f>ROUND(($K55)*(1+$M55),2)</f>
        <v>42.2</v>
      </c>
      <c r="P55" s="6">
        <f t="shared" ref="P55" si="33">ROUND((K55+I55)*(1+M55),2)</f>
        <v>666</v>
      </c>
    </row>
    <row r="56" spans="1:24" s="87" customFormat="1" outlineLevel="1" x14ac:dyDescent="0.3">
      <c r="A56" s="75" t="s">
        <v>70</v>
      </c>
      <c r="B56" s="76" t="s">
        <v>105</v>
      </c>
      <c r="C56" s="88" t="s">
        <v>188</v>
      </c>
      <c r="D56" s="50">
        <v>44348</v>
      </c>
      <c r="E56" s="81" t="s">
        <v>189</v>
      </c>
      <c r="F56" s="89" t="s">
        <v>0</v>
      </c>
      <c r="G56" s="81">
        <v>1</v>
      </c>
      <c r="H56" s="82">
        <v>47.67</v>
      </c>
      <c r="I56" s="82">
        <f>G56*H56</f>
        <v>47.67</v>
      </c>
      <c r="J56" s="82">
        <v>9.3000000000000007</v>
      </c>
      <c r="K56" s="82">
        <f>J56*G56</f>
        <v>9.3000000000000007</v>
      </c>
      <c r="L56" s="83">
        <f t="shared" si="30"/>
        <v>56.97</v>
      </c>
      <c r="M56" s="84">
        <f>K103</f>
        <v>0.25</v>
      </c>
      <c r="N56" s="6">
        <f t="shared" ref="N56:N61" si="34">ROUND(($I56)*(1+$M56),2)</f>
        <v>59.59</v>
      </c>
      <c r="O56" s="6">
        <f t="shared" ref="O56:O61" si="35">ROUND(($K56)*(1+$M56),2)</f>
        <v>11.63</v>
      </c>
      <c r="P56" s="85">
        <f t="shared" si="31"/>
        <v>71.209999999999994</v>
      </c>
      <c r="R56" s="76" t="s">
        <v>105</v>
      </c>
      <c r="S56" s="88" t="s">
        <v>122</v>
      </c>
      <c r="T56" s="78">
        <v>43191</v>
      </c>
      <c r="U56" s="82">
        <v>39.270000000000003</v>
      </c>
      <c r="V56" s="82">
        <v>30.76</v>
      </c>
      <c r="W56" s="86">
        <f>U56*$V$6</f>
        <v>46.17720030000001</v>
      </c>
      <c r="X56" s="86">
        <f>V56*$V$6</f>
        <v>36.170376400000002</v>
      </c>
    </row>
    <row r="57" spans="1:24" s="23" customFormat="1" outlineLevel="1" x14ac:dyDescent="0.3">
      <c r="A57" s="22" t="s">
        <v>71</v>
      </c>
      <c r="B57" s="38" t="s">
        <v>105</v>
      </c>
      <c r="C57" s="61">
        <v>91955</v>
      </c>
      <c r="D57" s="50">
        <v>44348</v>
      </c>
      <c r="E57" s="16" t="s">
        <v>125</v>
      </c>
      <c r="F57" s="30" t="s">
        <v>0</v>
      </c>
      <c r="G57" s="16">
        <v>5</v>
      </c>
      <c r="H57" s="5">
        <v>15.91</v>
      </c>
      <c r="I57" s="5">
        <f>G57*H57</f>
        <v>79.55</v>
      </c>
      <c r="J57" s="5">
        <v>10.23</v>
      </c>
      <c r="K57" s="5">
        <f>J57*G57</f>
        <v>51.150000000000006</v>
      </c>
      <c r="L57" s="20">
        <f t="shared" si="30"/>
        <v>26.14</v>
      </c>
      <c r="M57" s="41">
        <f>K103</f>
        <v>0.25</v>
      </c>
      <c r="N57" s="6">
        <f t="shared" si="34"/>
        <v>99.44</v>
      </c>
      <c r="O57" s="6">
        <f t="shared" si="35"/>
        <v>63.94</v>
      </c>
      <c r="P57" s="6">
        <f t="shared" si="31"/>
        <v>163.38</v>
      </c>
    </row>
    <row r="58" spans="1:24" s="23" customFormat="1" outlineLevel="1" x14ac:dyDescent="0.3">
      <c r="A58" s="22" t="s">
        <v>72</v>
      </c>
      <c r="B58" s="38" t="s">
        <v>105</v>
      </c>
      <c r="C58" s="61">
        <v>93654</v>
      </c>
      <c r="D58" s="50">
        <v>44348</v>
      </c>
      <c r="E58" s="16" t="s">
        <v>41</v>
      </c>
      <c r="F58" s="30" t="s">
        <v>0</v>
      </c>
      <c r="G58" s="16">
        <v>3</v>
      </c>
      <c r="H58" s="5">
        <v>10.74</v>
      </c>
      <c r="I58" s="5">
        <f>G58*H58</f>
        <v>32.22</v>
      </c>
      <c r="J58" s="5">
        <v>1.26</v>
      </c>
      <c r="K58" s="5">
        <f>J58*G58</f>
        <v>3.7800000000000002</v>
      </c>
      <c r="L58" s="20">
        <f t="shared" si="30"/>
        <v>12</v>
      </c>
      <c r="M58" s="41">
        <f>K103</f>
        <v>0.25</v>
      </c>
      <c r="N58" s="6">
        <f t="shared" si="34"/>
        <v>40.28</v>
      </c>
      <c r="O58" s="6">
        <f t="shared" si="35"/>
        <v>4.7300000000000004</v>
      </c>
      <c r="P58" s="6">
        <f t="shared" si="31"/>
        <v>45</v>
      </c>
    </row>
    <row r="59" spans="1:24" s="23" customFormat="1" outlineLevel="1" x14ac:dyDescent="0.3">
      <c r="A59" s="22" t="s">
        <v>127</v>
      </c>
      <c r="B59" s="38" t="s">
        <v>105</v>
      </c>
      <c r="C59" s="61">
        <v>91926</v>
      </c>
      <c r="D59" s="50">
        <v>44348</v>
      </c>
      <c r="E59" s="16" t="s">
        <v>129</v>
      </c>
      <c r="F59" s="30" t="s">
        <v>2</v>
      </c>
      <c r="G59" s="16">
        <v>120</v>
      </c>
      <c r="H59" s="5">
        <v>3.1</v>
      </c>
      <c r="I59" s="5">
        <f t="shared" ref="I59" si="36">G59*H59</f>
        <v>372</v>
      </c>
      <c r="J59" s="5">
        <v>0.8</v>
      </c>
      <c r="K59" s="5">
        <f t="shared" ref="K59:K60" si="37">J59*G59</f>
        <v>96</v>
      </c>
      <c r="L59" s="20">
        <f t="shared" ref="L59:L60" si="38">J59+H59</f>
        <v>3.9000000000000004</v>
      </c>
      <c r="M59" s="41">
        <f>K103</f>
        <v>0.25</v>
      </c>
      <c r="N59" s="6">
        <f t="shared" si="34"/>
        <v>465</v>
      </c>
      <c r="O59" s="6">
        <f t="shared" si="35"/>
        <v>120</v>
      </c>
      <c r="P59" s="6">
        <f t="shared" si="31"/>
        <v>585</v>
      </c>
    </row>
    <row r="60" spans="1:24" s="23" customFormat="1" outlineLevel="1" x14ac:dyDescent="0.3">
      <c r="A60" s="22" t="s">
        <v>128</v>
      </c>
      <c r="B60" s="146" t="s">
        <v>105</v>
      </c>
      <c r="C60" s="61" t="s">
        <v>177</v>
      </c>
      <c r="D60" s="50">
        <v>44348</v>
      </c>
      <c r="E60" s="16" t="s">
        <v>178</v>
      </c>
      <c r="F60" s="30" t="s">
        <v>0</v>
      </c>
      <c r="G60" s="16">
        <v>1</v>
      </c>
      <c r="H60" s="5">
        <v>51.06</v>
      </c>
      <c r="I60" s="5">
        <v>7.65</v>
      </c>
      <c r="J60" s="5">
        <v>2.92</v>
      </c>
      <c r="K60" s="5">
        <f t="shared" si="37"/>
        <v>2.92</v>
      </c>
      <c r="L60" s="20">
        <f t="shared" si="38"/>
        <v>53.980000000000004</v>
      </c>
      <c r="M60" s="41">
        <f>K103</f>
        <v>0.25</v>
      </c>
      <c r="N60" s="6">
        <f t="shared" si="34"/>
        <v>9.56</v>
      </c>
      <c r="O60" s="6">
        <f t="shared" si="35"/>
        <v>3.65</v>
      </c>
      <c r="P60" s="6">
        <f t="shared" si="31"/>
        <v>13.21</v>
      </c>
    </row>
    <row r="61" spans="1:24" s="23" customFormat="1" outlineLevel="1" x14ac:dyDescent="0.3">
      <c r="A61" s="22" t="s">
        <v>130</v>
      </c>
      <c r="B61" s="146" t="s">
        <v>105</v>
      </c>
      <c r="C61" s="61" t="s">
        <v>176</v>
      </c>
      <c r="D61" s="50">
        <v>44348</v>
      </c>
      <c r="E61" s="16" t="s">
        <v>175</v>
      </c>
      <c r="F61" s="30" t="s">
        <v>0</v>
      </c>
      <c r="G61" s="16">
        <v>1</v>
      </c>
      <c r="H61" s="5">
        <v>51.06</v>
      </c>
      <c r="I61" s="5">
        <v>7.65</v>
      </c>
      <c r="J61" s="5">
        <v>2.92</v>
      </c>
      <c r="K61" s="5">
        <f t="shared" ref="K61" si="39">J61*G61</f>
        <v>2.92</v>
      </c>
      <c r="L61" s="20">
        <f t="shared" ref="L61" si="40">J61+H61</f>
        <v>53.980000000000004</v>
      </c>
      <c r="M61" s="41">
        <f>K103</f>
        <v>0.25</v>
      </c>
      <c r="N61" s="6">
        <f t="shared" si="34"/>
        <v>9.56</v>
      </c>
      <c r="O61" s="6">
        <f t="shared" si="35"/>
        <v>3.65</v>
      </c>
      <c r="P61" s="6">
        <f t="shared" ref="P61" si="41">ROUND((K61+I61)*(1+M61),2)</f>
        <v>13.21</v>
      </c>
    </row>
    <row r="62" spans="1:24" s="27" customFormat="1" outlineLevel="1" x14ac:dyDescent="0.3">
      <c r="A62" s="24"/>
      <c r="B62" s="40"/>
      <c r="C62" s="54"/>
      <c r="D62" s="40"/>
      <c r="E62" s="25"/>
      <c r="F62" s="26"/>
      <c r="G62" s="25"/>
      <c r="H62" s="11"/>
      <c r="I62" s="11"/>
      <c r="J62" s="11"/>
      <c r="K62" s="11"/>
      <c r="L62" s="11"/>
      <c r="M62" s="42"/>
      <c r="N62" s="11"/>
      <c r="O62" s="11"/>
      <c r="P62" s="6"/>
    </row>
    <row r="63" spans="1:24" x14ac:dyDescent="0.3">
      <c r="A63" s="46">
        <v>9</v>
      </c>
      <c r="B63" s="132" t="s">
        <v>121</v>
      </c>
      <c r="C63" s="133"/>
      <c r="D63" s="133"/>
      <c r="E63" s="133"/>
      <c r="F63" s="133"/>
      <c r="G63" s="133"/>
      <c r="H63" s="133"/>
      <c r="I63" s="49">
        <f>(SUM(I64:I76))</f>
        <v>10723.79</v>
      </c>
      <c r="J63" s="133"/>
      <c r="K63" s="49">
        <f>(SUM(K64:K76))</f>
        <v>3401.6800000000003</v>
      </c>
      <c r="L63" s="47" t="s">
        <v>77</v>
      </c>
      <c r="M63" s="48"/>
      <c r="N63" s="49">
        <f t="shared" ref="N63:O63" si="42">(SUM(N64:N76))</f>
        <v>13404.750000000002</v>
      </c>
      <c r="O63" s="49">
        <f t="shared" si="42"/>
        <v>4252.1100000000006</v>
      </c>
      <c r="P63" s="49">
        <f>(SUM(P64:P76))+0.01</f>
        <v>17656.859999999997</v>
      </c>
    </row>
    <row r="64" spans="1:24" s="23" customFormat="1" outlineLevel="1" x14ac:dyDescent="0.3">
      <c r="A64" s="13" t="s">
        <v>9</v>
      </c>
      <c r="B64" s="36"/>
      <c r="C64" s="53"/>
      <c r="D64" s="36"/>
      <c r="E64" s="161" t="s">
        <v>10</v>
      </c>
      <c r="F64" s="162"/>
      <c r="G64" s="162"/>
      <c r="H64" s="162"/>
      <c r="I64" s="162"/>
      <c r="J64" s="162"/>
      <c r="K64" s="163"/>
      <c r="L64" s="33"/>
      <c r="M64" s="43"/>
      <c r="N64" s="43"/>
      <c r="O64" s="43"/>
      <c r="P64" s="6"/>
    </row>
    <row r="65" spans="1:16" s="23" customFormat="1" outlineLevel="1" x14ac:dyDescent="0.3">
      <c r="A65" s="22" t="s">
        <v>51</v>
      </c>
      <c r="B65" s="38" t="s">
        <v>105</v>
      </c>
      <c r="C65" s="63">
        <v>89402</v>
      </c>
      <c r="D65" s="50">
        <v>44348</v>
      </c>
      <c r="E65" s="16" t="s">
        <v>81</v>
      </c>
      <c r="F65" s="15" t="s">
        <v>2</v>
      </c>
      <c r="G65" s="16">
        <v>28</v>
      </c>
      <c r="H65" s="5">
        <v>6.19</v>
      </c>
      <c r="I65" s="5">
        <f t="shared" ref="I65:I67" si="43">G65*H65</f>
        <v>173.32000000000002</v>
      </c>
      <c r="J65" s="5">
        <v>2.75</v>
      </c>
      <c r="K65" s="5">
        <f>J65*G65</f>
        <v>77</v>
      </c>
      <c r="L65" s="20">
        <f t="shared" ref="L65:L76" si="44">J65+H65</f>
        <v>8.9400000000000013</v>
      </c>
      <c r="M65" s="41">
        <f>K103</f>
        <v>0.25</v>
      </c>
      <c r="N65" s="6">
        <f t="shared" ref="N65:N68" si="45">ROUND(($I65)*(1+$M65),2)</f>
        <v>216.65</v>
      </c>
      <c r="O65" s="6">
        <f t="shared" ref="O65:O68" si="46">ROUND(($K65)*(1+$M65),2)</f>
        <v>96.25</v>
      </c>
      <c r="P65" s="6">
        <f t="shared" ref="P65:P76" si="47">ROUND((K65+I65)*(1+M65),2)</f>
        <v>312.89999999999998</v>
      </c>
    </row>
    <row r="66" spans="1:16" s="23" customFormat="1" outlineLevel="1" x14ac:dyDescent="0.3">
      <c r="A66" s="22" t="s">
        <v>120</v>
      </c>
      <c r="B66" s="38" t="s">
        <v>105</v>
      </c>
      <c r="C66" s="55">
        <v>89490</v>
      </c>
      <c r="D66" s="50">
        <v>44348</v>
      </c>
      <c r="E66" s="16" t="s">
        <v>83</v>
      </c>
      <c r="F66" s="15" t="s">
        <v>2</v>
      </c>
      <c r="G66" s="16">
        <v>20</v>
      </c>
      <c r="H66" s="5">
        <v>4.8499999999999996</v>
      </c>
      <c r="I66" s="5">
        <f t="shared" si="43"/>
        <v>97</v>
      </c>
      <c r="J66" s="5">
        <v>1.45</v>
      </c>
      <c r="K66" s="5">
        <f>J66*G66</f>
        <v>29</v>
      </c>
      <c r="L66" s="20">
        <f t="shared" si="44"/>
        <v>6.3</v>
      </c>
      <c r="M66" s="41">
        <f>K103</f>
        <v>0.25</v>
      </c>
      <c r="N66" s="6">
        <f t="shared" si="45"/>
        <v>121.25</v>
      </c>
      <c r="O66" s="6">
        <f t="shared" si="46"/>
        <v>36.25</v>
      </c>
      <c r="P66" s="6">
        <f t="shared" si="47"/>
        <v>157.5</v>
      </c>
    </row>
    <row r="67" spans="1:16" s="23" customFormat="1" outlineLevel="1" x14ac:dyDescent="0.3">
      <c r="A67" s="22" t="s">
        <v>73</v>
      </c>
      <c r="B67" s="38" t="s">
        <v>105</v>
      </c>
      <c r="C67" s="61">
        <v>89355</v>
      </c>
      <c r="D67" s="50">
        <v>44348</v>
      </c>
      <c r="E67" s="16" t="s">
        <v>190</v>
      </c>
      <c r="F67" s="15" t="s">
        <v>2</v>
      </c>
      <c r="G67" s="16">
        <v>35</v>
      </c>
      <c r="H67" s="11">
        <v>77.52</v>
      </c>
      <c r="I67" s="5">
        <f t="shared" si="43"/>
        <v>2713.2</v>
      </c>
      <c r="J67" s="11">
        <v>6.58</v>
      </c>
      <c r="K67" s="5">
        <f>J67*G67</f>
        <v>230.3</v>
      </c>
      <c r="L67" s="20">
        <f t="shared" ref="L67" si="48">J67+H67</f>
        <v>84.1</v>
      </c>
      <c r="M67" s="41">
        <f>K103</f>
        <v>0.25</v>
      </c>
      <c r="N67" s="6">
        <f t="shared" si="45"/>
        <v>3391.5</v>
      </c>
      <c r="O67" s="6">
        <f t="shared" si="46"/>
        <v>287.88</v>
      </c>
      <c r="P67" s="6">
        <f t="shared" si="47"/>
        <v>3679.38</v>
      </c>
    </row>
    <row r="68" spans="1:16" s="23" customFormat="1" outlineLevel="1" x14ac:dyDescent="0.3">
      <c r="A68" s="22" t="s">
        <v>179</v>
      </c>
      <c r="B68" s="146" t="s">
        <v>105</v>
      </c>
      <c r="C68" s="156">
        <v>89986</v>
      </c>
      <c r="D68" s="50">
        <v>44348</v>
      </c>
      <c r="E68" s="156" t="s">
        <v>180</v>
      </c>
      <c r="F68" s="15" t="s">
        <v>0</v>
      </c>
      <c r="G68" s="16">
        <v>2</v>
      </c>
      <c r="H68" s="11">
        <v>77.52</v>
      </c>
      <c r="I68" s="5">
        <f t="shared" ref="I68" si="49">G68*H68</f>
        <v>155.04</v>
      </c>
      <c r="J68" s="11">
        <v>6.58</v>
      </c>
      <c r="K68" s="5">
        <f>J68*G68</f>
        <v>13.16</v>
      </c>
      <c r="L68" s="20">
        <f t="shared" ref="L68" si="50">J68+H68</f>
        <v>84.1</v>
      </c>
      <c r="M68" s="41">
        <f>K103</f>
        <v>0.25</v>
      </c>
      <c r="N68" s="6">
        <f t="shared" si="45"/>
        <v>193.8</v>
      </c>
      <c r="O68" s="6">
        <f t="shared" si="46"/>
        <v>16.45</v>
      </c>
      <c r="P68" s="6">
        <f t="shared" ref="P68" si="51">ROUND((K68+I68)*(1+M68),2)</f>
        <v>210.25</v>
      </c>
    </row>
    <row r="69" spans="1:16" s="23" customFormat="1" outlineLevel="1" x14ac:dyDescent="0.3">
      <c r="A69" s="13" t="s">
        <v>119</v>
      </c>
      <c r="B69" s="38"/>
      <c r="C69" s="53"/>
      <c r="D69" s="50"/>
      <c r="E69" s="161" t="s">
        <v>42</v>
      </c>
      <c r="F69" s="162"/>
      <c r="G69" s="162"/>
      <c r="H69" s="162"/>
      <c r="I69" s="162"/>
      <c r="J69" s="162"/>
      <c r="K69" s="163"/>
      <c r="L69" s="20"/>
      <c r="M69" s="41"/>
      <c r="N69" s="41"/>
      <c r="O69" s="41"/>
      <c r="P69" s="6"/>
    </row>
    <row r="70" spans="1:16" s="23" customFormat="1" outlineLevel="1" x14ac:dyDescent="0.3">
      <c r="A70" s="22" t="s">
        <v>117</v>
      </c>
      <c r="B70" s="38" t="s">
        <v>105</v>
      </c>
      <c r="C70" s="61">
        <v>89714</v>
      </c>
      <c r="D70" s="50">
        <v>44348</v>
      </c>
      <c r="E70" s="16" t="s">
        <v>84</v>
      </c>
      <c r="F70" s="15" t="s">
        <v>2</v>
      </c>
      <c r="G70" s="16">
        <v>15</v>
      </c>
      <c r="H70" s="5">
        <v>32.68</v>
      </c>
      <c r="I70" s="5">
        <f>G70*H70</f>
        <v>490.2</v>
      </c>
      <c r="J70" s="5">
        <v>18.03</v>
      </c>
      <c r="K70" s="5">
        <f t="shared" ref="K70:K76" si="52">J70*G70</f>
        <v>270.45000000000005</v>
      </c>
      <c r="L70" s="20">
        <f t="shared" si="44"/>
        <v>50.71</v>
      </c>
      <c r="M70" s="41">
        <f>K103</f>
        <v>0.25</v>
      </c>
      <c r="N70" s="6">
        <f>ROUND(($I70)*(1+$M70),2)</f>
        <v>612.75</v>
      </c>
      <c r="O70" s="6">
        <f>ROUND(($K70)*(1+$M70),2)</f>
        <v>338.06</v>
      </c>
      <c r="P70" s="6">
        <f t="shared" si="47"/>
        <v>950.81</v>
      </c>
    </row>
    <row r="71" spans="1:16" s="23" customFormat="1" outlineLevel="1" x14ac:dyDescent="0.3">
      <c r="A71" s="22" t="s">
        <v>52</v>
      </c>
      <c r="B71" s="38" t="s">
        <v>105</v>
      </c>
      <c r="C71" s="61">
        <v>89712</v>
      </c>
      <c r="D71" s="50">
        <v>44348</v>
      </c>
      <c r="E71" s="16" t="s">
        <v>116</v>
      </c>
      <c r="F71" s="15" t="s">
        <v>2</v>
      </c>
      <c r="G71" s="16">
        <v>10</v>
      </c>
      <c r="H71" s="5">
        <v>16.899999999999999</v>
      </c>
      <c r="I71" s="5">
        <f t="shared" ref="I71:I76" si="53">G71*H71</f>
        <v>169</v>
      </c>
      <c r="J71" s="5">
        <v>9.26</v>
      </c>
      <c r="K71" s="5">
        <f t="shared" si="52"/>
        <v>92.6</v>
      </c>
      <c r="L71" s="20">
        <f t="shared" si="44"/>
        <v>26.159999999999997</v>
      </c>
      <c r="M71" s="41">
        <f>K103</f>
        <v>0.25</v>
      </c>
      <c r="N71" s="6">
        <f t="shared" ref="N71:N76" si="54">ROUND(($I71)*(1+$M71),2)</f>
        <v>211.25</v>
      </c>
      <c r="O71" s="6">
        <f t="shared" ref="O71:O76" si="55">ROUND(($K71)*(1+$M71),2)</f>
        <v>115.75</v>
      </c>
      <c r="P71" s="6">
        <f t="shared" si="47"/>
        <v>327</v>
      </c>
    </row>
    <row r="72" spans="1:16" s="23" customFormat="1" outlineLevel="1" x14ac:dyDescent="0.3">
      <c r="A72" s="22" t="s">
        <v>118</v>
      </c>
      <c r="B72" s="38" t="s">
        <v>105</v>
      </c>
      <c r="C72" s="61">
        <v>89711</v>
      </c>
      <c r="D72" s="50">
        <v>44348</v>
      </c>
      <c r="E72" s="16" t="s">
        <v>85</v>
      </c>
      <c r="F72" s="15" t="s">
        <v>2</v>
      </c>
      <c r="G72" s="16">
        <v>6</v>
      </c>
      <c r="H72" s="5">
        <v>9.2799999999999994</v>
      </c>
      <c r="I72" s="5">
        <f t="shared" si="53"/>
        <v>55.679999999999993</v>
      </c>
      <c r="J72" s="5">
        <v>7.31</v>
      </c>
      <c r="K72" s="5">
        <f t="shared" si="52"/>
        <v>43.86</v>
      </c>
      <c r="L72" s="20">
        <f t="shared" si="44"/>
        <v>16.59</v>
      </c>
      <c r="M72" s="41">
        <f>K103</f>
        <v>0.25</v>
      </c>
      <c r="N72" s="6">
        <f t="shared" si="54"/>
        <v>69.599999999999994</v>
      </c>
      <c r="O72" s="6">
        <f t="shared" si="55"/>
        <v>54.83</v>
      </c>
      <c r="P72" s="6">
        <f t="shared" si="47"/>
        <v>124.43</v>
      </c>
    </row>
    <row r="73" spans="1:16" s="23" customFormat="1" outlineLevel="1" x14ac:dyDescent="0.3">
      <c r="A73" s="22" t="s">
        <v>53</v>
      </c>
      <c r="B73" s="38" t="s">
        <v>105</v>
      </c>
      <c r="C73" s="61">
        <v>89746</v>
      </c>
      <c r="D73" s="50">
        <v>44348</v>
      </c>
      <c r="E73" s="16" t="s">
        <v>82</v>
      </c>
      <c r="F73" s="15" t="s">
        <v>0</v>
      </c>
      <c r="G73" s="16">
        <v>11</v>
      </c>
      <c r="H73" s="5">
        <v>16.89</v>
      </c>
      <c r="I73" s="5">
        <f t="shared" si="53"/>
        <v>185.79000000000002</v>
      </c>
      <c r="J73" s="5">
        <v>6.09</v>
      </c>
      <c r="K73" s="5">
        <f t="shared" si="52"/>
        <v>66.989999999999995</v>
      </c>
      <c r="L73" s="20">
        <f t="shared" si="44"/>
        <v>22.98</v>
      </c>
      <c r="M73" s="41">
        <f>K103</f>
        <v>0.25</v>
      </c>
      <c r="N73" s="6">
        <f t="shared" si="54"/>
        <v>232.24</v>
      </c>
      <c r="O73" s="6">
        <f t="shared" si="55"/>
        <v>83.74</v>
      </c>
      <c r="P73" s="6">
        <f t="shared" si="47"/>
        <v>315.98</v>
      </c>
    </row>
    <row r="74" spans="1:16" s="23" customFormat="1" outlineLevel="1" x14ac:dyDescent="0.3">
      <c r="A74" s="22" t="s">
        <v>86</v>
      </c>
      <c r="B74" s="38" t="s">
        <v>105</v>
      </c>
      <c r="C74" s="61">
        <v>98052</v>
      </c>
      <c r="D74" s="50">
        <v>44348</v>
      </c>
      <c r="E74" s="16" t="s">
        <v>89</v>
      </c>
      <c r="F74" s="15" t="s">
        <v>0</v>
      </c>
      <c r="G74" s="16">
        <v>1</v>
      </c>
      <c r="H74" s="5">
        <v>1381.7</v>
      </c>
      <c r="I74" s="5">
        <f t="shared" si="53"/>
        <v>1381.7</v>
      </c>
      <c r="J74" s="5">
        <v>207.69</v>
      </c>
      <c r="K74" s="5">
        <f t="shared" si="52"/>
        <v>207.69</v>
      </c>
      <c r="L74" s="20">
        <f t="shared" si="44"/>
        <v>1589.39</v>
      </c>
      <c r="M74" s="41">
        <f>K103</f>
        <v>0.25</v>
      </c>
      <c r="N74" s="6">
        <f t="shared" si="54"/>
        <v>1727.13</v>
      </c>
      <c r="O74" s="6">
        <f t="shared" si="55"/>
        <v>259.61</v>
      </c>
      <c r="P74" s="6">
        <f t="shared" si="47"/>
        <v>1986.74</v>
      </c>
    </row>
    <row r="75" spans="1:16" s="23" customFormat="1" outlineLevel="1" x14ac:dyDescent="0.3">
      <c r="A75" s="22" t="s">
        <v>87</v>
      </c>
      <c r="B75" s="38" t="s">
        <v>105</v>
      </c>
      <c r="C75" s="61">
        <v>98072</v>
      </c>
      <c r="D75" s="50">
        <v>44348</v>
      </c>
      <c r="E75" s="16" t="s">
        <v>90</v>
      </c>
      <c r="F75" s="15" t="s">
        <v>0</v>
      </c>
      <c r="G75" s="16">
        <v>1</v>
      </c>
      <c r="H75" s="5">
        <v>2576.3200000000002</v>
      </c>
      <c r="I75" s="5">
        <f t="shared" si="53"/>
        <v>2576.3200000000002</v>
      </c>
      <c r="J75" s="5">
        <v>1159.8499999999999</v>
      </c>
      <c r="K75" s="5">
        <f t="shared" si="52"/>
        <v>1159.8499999999999</v>
      </c>
      <c r="L75" s="20">
        <f t="shared" si="44"/>
        <v>3736.17</v>
      </c>
      <c r="M75" s="41">
        <f>K103</f>
        <v>0.25</v>
      </c>
      <c r="N75" s="6">
        <f t="shared" si="54"/>
        <v>3220.4</v>
      </c>
      <c r="O75" s="6">
        <f t="shared" si="55"/>
        <v>1449.81</v>
      </c>
      <c r="P75" s="6">
        <f t="shared" si="47"/>
        <v>4670.21</v>
      </c>
    </row>
    <row r="76" spans="1:16" s="23" customFormat="1" outlineLevel="1" x14ac:dyDescent="0.3">
      <c r="A76" s="22" t="s">
        <v>88</v>
      </c>
      <c r="B76" s="38" t="s">
        <v>105</v>
      </c>
      <c r="C76" s="55">
        <v>98078</v>
      </c>
      <c r="D76" s="50">
        <v>44348</v>
      </c>
      <c r="E76" s="16" t="s">
        <v>91</v>
      </c>
      <c r="F76" s="15" t="s">
        <v>0</v>
      </c>
      <c r="G76" s="16">
        <v>1</v>
      </c>
      <c r="H76" s="5">
        <v>2726.54</v>
      </c>
      <c r="I76" s="5">
        <f t="shared" si="53"/>
        <v>2726.54</v>
      </c>
      <c r="J76" s="5">
        <v>1210.78</v>
      </c>
      <c r="K76" s="5">
        <f t="shared" si="52"/>
        <v>1210.78</v>
      </c>
      <c r="L76" s="20">
        <f t="shared" si="44"/>
        <v>3937.3199999999997</v>
      </c>
      <c r="M76" s="41">
        <f>K103</f>
        <v>0.25</v>
      </c>
      <c r="N76" s="6">
        <f t="shared" si="54"/>
        <v>3408.18</v>
      </c>
      <c r="O76" s="6">
        <f t="shared" si="55"/>
        <v>1513.48</v>
      </c>
      <c r="P76" s="6">
        <f t="shared" si="47"/>
        <v>4921.6499999999996</v>
      </c>
    </row>
    <row r="77" spans="1:16" s="27" customFormat="1" outlineLevel="1" x14ac:dyDescent="0.3">
      <c r="A77" s="24"/>
      <c r="B77" s="40"/>
      <c r="C77" s="54"/>
      <c r="D77" s="40"/>
      <c r="E77" s="25"/>
      <c r="F77" s="26"/>
      <c r="G77" s="25"/>
      <c r="H77" s="11"/>
      <c r="I77" s="11"/>
      <c r="J77" s="11"/>
      <c r="K77" s="11"/>
      <c r="L77" s="11"/>
      <c r="M77" s="42"/>
      <c r="N77" s="11"/>
      <c r="O77" s="11"/>
      <c r="P77" s="6"/>
    </row>
    <row r="78" spans="1:16" x14ac:dyDescent="0.3">
      <c r="A78" s="46">
        <v>10</v>
      </c>
      <c r="B78" s="132" t="s">
        <v>43</v>
      </c>
      <c r="C78" s="133"/>
      <c r="D78" s="133"/>
      <c r="E78" s="133"/>
      <c r="F78" s="133"/>
      <c r="G78" s="133"/>
      <c r="H78" s="133"/>
      <c r="I78" s="49">
        <f>SUM(I79:I80)</f>
        <v>1445.03</v>
      </c>
      <c r="J78" s="133"/>
      <c r="K78" s="49">
        <f>SUM(K79:K80)</f>
        <v>237.38000000000002</v>
      </c>
      <c r="L78" s="47" t="s">
        <v>77</v>
      </c>
      <c r="M78" s="48"/>
      <c r="N78" s="49">
        <f t="shared" ref="N78:O78" si="56">SUM(N79:N80)</f>
        <v>1806.29</v>
      </c>
      <c r="O78" s="49">
        <f t="shared" si="56"/>
        <v>296.73</v>
      </c>
      <c r="P78" s="49">
        <f>SUM(P79:P80)</f>
        <v>2103.02</v>
      </c>
    </row>
    <row r="79" spans="1:16" s="23" customFormat="1" outlineLevel="1" x14ac:dyDescent="0.3">
      <c r="A79" s="22" t="s">
        <v>74</v>
      </c>
      <c r="B79" s="38" t="s">
        <v>105</v>
      </c>
      <c r="C79" s="61">
        <v>88411</v>
      </c>
      <c r="D79" s="50">
        <v>44348</v>
      </c>
      <c r="E79" s="16" t="s">
        <v>44</v>
      </c>
      <c r="F79" s="15" t="s">
        <v>1</v>
      </c>
      <c r="G79" s="16">
        <v>83</v>
      </c>
      <c r="H79" s="5">
        <v>1.29</v>
      </c>
      <c r="I79" s="5">
        <f>G79*H79</f>
        <v>107.07000000000001</v>
      </c>
      <c r="J79" s="5">
        <v>0.8</v>
      </c>
      <c r="K79" s="5">
        <f>J79*G79</f>
        <v>66.400000000000006</v>
      </c>
      <c r="L79" s="20">
        <f>J79+H79</f>
        <v>2.09</v>
      </c>
      <c r="M79" s="41">
        <f>K103</f>
        <v>0.25</v>
      </c>
      <c r="N79" s="6">
        <f>ROUND(($I79)*(1+$M79),2)</f>
        <v>133.84</v>
      </c>
      <c r="O79" s="6">
        <f>ROUND(($K79)*(1+$M79),2)</f>
        <v>83</v>
      </c>
      <c r="P79" s="6">
        <f>ROUND((K79+I79)*(1+M79),2)</f>
        <v>216.84</v>
      </c>
    </row>
    <row r="80" spans="1:16" s="23" customFormat="1" outlineLevel="1" x14ac:dyDescent="0.3">
      <c r="A80" s="22" t="s">
        <v>75</v>
      </c>
      <c r="B80" s="38" t="s">
        <v>105</v>
      </c>
      <c r="C80" s="61">
        <v>88426</v>
      </c>
      <c r="D80" s="50">
        <v>44348</v>
      </c>
      <c r="E80" s="16" t="s">
        <v>115</v>
      </c>
      <c r="F80" s="15" t="s">
        <v>1</v>
      </c>
      <c r="G80" s="16">
        <v>83</v>
      </c>
      <c r="H80" s="5">
        <v>16.12</v>
      </c>
      <c r="I80" s="5">
        <f>G80*H80</f>
        <v>1337.96</v>
      </c>
      <c r="J80" s="5">
        <v>2.06</v>
      </c>
      <c r="K80" s="5">
        <f>J80*G80</f>
        <v>170.98000000000002</v>
      </c>
      <c r="L80" s="20">
        <f t="shared" ref="L80" si="57">J80+H80</f>
        <v>18.18</v>
      </c>
      <c r="M80" s="41">
        <f>K103</f>
        <v>0.25</v>
      </c>
      <c r="N80" s="6">
        <f t="shared" ref="N80" si="58">ROUND(($I80)*(1+$M80),2)</f>
        <v>1672.45</v>
      </c>
      <c r="O80" s="6">
        <f t="shared" ref="O80" si="59">ROUND(($K80)*(1+$M80),2)</f>
        <v>213.73</v>
      </c>
      <c r="P80" s="6">
        <f t="shared" ref="P80" si="60">ROUND((K80+I80)*(1+M80),2)</f>
        <v>1886.18</v>
      </c>
    </row>
    <row r="81" spans="1:24" s="27" customFormat="1" outlineLevel="1" x14ac:dyDescent="0.3">
      <c r="A81" s="24"/>
      <c r="B81" s="40"/>
      <c r="C81" s="54"/>
      <c r="D81" s="40"/>
      <c r="E81" s="25"/>
      <c r="F81" s="26"/>
      <c r="G81" s="25"/>
      <c r="H81" s="11"/>
      <c r="I81" s="11"/>
      <c r="J81" s="11"/>
      <c r="K81" s="11"/>
      <c r="L81" s="11"/>
      <c r="M81" s="42"/>
      <c r="N81" s="11"/>
      <c r="O81" s="11"/>
      <c r="P81" s="6"/>
    </row>
    <row r="82" spans="1:24" x14ac:dyDescent="0.3">
      <c r="A82" s="46">
        <v>11</v>
      </c>
      <c r="B82" s="132" t="s">
        <v>45</v>
      </c>
      <c r="C82" s="133"/>
      <c r="D82" s="133"/>
      <c r="E82" s="133"/>
      <c r="F82" s="133"/>
      <c r="G82" s="133"/>
      <c r="H82" s="133"/>
      <c r="I82" s="49">
        <f>SUM(I83:I84)</f>
        <v>931.73920000000021</v>
      </c>
      <c r="J82" s="133"/>
      <c r="K82" s="49">
        <f>SUM(K83:K84)</f>
        <v>831.1866</v>
      </c>
      <c r="L82" s="47" t="s">
        <v>77</v>
      </c>
      <c r="M82" s="48"/>
      <c r="N82" s="49">
        <f t="shared" ref="N82:O82" si="61">SUM(N83:N84)</f>
        <v>1164.67</v>
      </c>
      <c r="O82" s="49">
        <f t="shared" si="61"/>
        <v>1038.98</v>
      </c>
      <c r="P82" s="49">
        <f>SUM(P83:P84)-0.01</f>
        <v>2203.6499999999996</v>
      </c>
    </row>
    <row r="83" spans="1:24" s="23" customFormat="1" outlineLevel="1" x14ac:dyDescent="0.3">
      <c r="A83" s="24" t="s">
        <v>114</v>
      </c>
      <c r="B83" s="38" t="s">
        <v>105</v>
      </c>
      <c r="C83" s="62" t="s">
        <v>182</v>
      </c>
      <c r="D83" s="50">
        <v>44348</v>
      </c>
      <c r="E83" s="25" t="s">
        <v>181</v>
      </c>
      <c r="F83" s="15" t="s">
        <v>1</v>
      </c>
      <c r="G83" s="25">
        <v>36.17</v>
      </c>
      <c r="H83" s="11">
        <v>8.75</v>
      </c>
      <c r="I83" s="5">
        <f>G83*H83</f>
        <v>316.48750000000001</v>
      </c>
      <c r="J83" s="11">
        <v>6.02</v>
      </c>
      <c r="K83" s="5">
        <f>J83*G83</f>
        <v>217.74340000000001</v>
      </c>
      <c r="L83" s="20">
        <f>J83+H83</f>
        <v>14.77</v>
      </c>
      <c r="M83" s="41">
        <f>K103</f>
        <v>0.25</v>
      </c>
      <c r="N83" s="6">
        <f>ROUND(($I83)*(1+$M83),2)</f>
        <v>395.61</v>
      </c>
      <c r="O83" s="6">
        <f>ROUND(($K83)*(1+$M83),2)</f>
        <v>272.18</v>
      </c>
      <c r="P83" s="6">
        <f>ROUND((K83+I83)*(1+M83),2)</f>
        <v>667.79</v>
      </c>
    </row>
    <row r="84" spans="1:24" s="23" customFormat="1" outlineLevel="1" x14ac:dyDescent="0.3">
      <c r="A84" s="24" t="s">
        <v>80</v>
      </c>
      <c r="B84" s="38" t="s">
        <v>105</v>
      </c>
      <c r="C84" s="62">
        <v>90406</v>
      </c>
      <c r="D84" s="50">
        <v>44348</v>
      </c>
      <c r="E84" s="25" t="s">
        <v>183</v>
      </c>
      <c r="F84" s="15" t="s">
        <v>1</v>
      </c>
      <c r="G84" s="25">
        <v>36.17</v>
      </c>
      <c r="H84" s="11">
        <v>17.010000000000002</v>
      </c>
      <c r="I84" s="5">
        <f>G84*H84</f>
        <v>615.25170000000014</v>
      </c>
      <c r="J84" s="11">
        <v>16.96</v>
      </c>
      <c r="K84" s="5">
        <f>J84*G84</f>
        <v>613.44320000000005</v>
      </c>
      <c r="L84" s="20">
        <f>J84+H84</f>
        <v>33.97</v>
      </c>
      <c r="M84" s="41">
        <f>K103</f>
        <v>0.25</v>
      </c>
      <c r="N84" s="6">
        <f>ROUND(($I84)*(1+$M84),2)</f>
        <v>769.06</v>
      </c>
      <c r="O84" s="6">
        <f>ROUND(($K84)*(1+$M84),2)</f>
        <v>766.8</v>
      </c>
      <c r="P84" s="6">
        <f>ROUND((K84+I84)*(1+M84),2)</f>
        <v>1535.87</v>
      </c>
    </row>
    <row r="85" spans="1:24" s="27" customFormat="1" outlineLevel="1" x14ac:dyDescent="0.3">
      <c r="A85" s="24"/>
      <c r="B85" s="40"/>
      <c r="C85" s="54"/>
      <c r="D85" s="40"/>
      <c r="E85" s="25"/>
      <c r="F85" s="26"/>
      <c r="G85" s="25"/>
      <c r="H85" s="11"/>
      <c r="I85" s="11"/>
      <c r="J85" s="11"/>
      <c r="K85" s="11"/>
      <c r="L85" s="11"/>
      <c r="M85" s="42"/>
      <c r="N85" s="11"/>
      <c r="O85" s="11"/>
      <c r="P85" s="6"/>
    </row>
    <row r="86" spans="1:24" x14ac:dyDescent="0.3">
      <c r="A86" s="46">
        <v>12</v>
      </c>
      <c r="B86" s="132" t="s">
        <v>76</v>
      </c>
      <c r="C86" s="133"/>
      <c r="D86" s="133"/>
      <c r="E86" s="133"/>
      <c r="F86" s="133"/>
      <c r="G86" s="133"/>
      <c r="H86" s="133"/>
      <c r="I86" s="49">
        <f>SUM(I87:I90)</f>
        <v>4006.6880000000006</v>
      </c>
      <c r="J86" s="133"/>
      <c r="K86" s="49">
        <f>SUM(K87:K90)</f>
        <v>203.49600000000001</v>
      </c>
      <c r="L86" s="47" t="s">
        <v>77</v>
      </c>
      <c r="M86" s="48"/>
      <c r="N86" s="49">
        <f t="shared" ref="N86:O86" si="62">SUM(N87:N91)</f>
        <v>6497.8099999999995</v>
      </c>
      <c r="O86" s="49">
        <f t="shared" si="62"/>
        <v>483.22</v>
      </c>
      <c r="P86" s="49">
        <f>SUM(P87:P91)</f>
        <v>6981.03</v>
      </c>
    </row>
    <row r="87" spans="1:24" s="23" customFormat="1" outlineLevel="1" x14ac:dyDescent="0.3">
      <c r="A87" s="22" t="s">
        <v>96</v>
      </c>
      <c r="B87" s="38" t="s">
        <v>105</v>
      </c>
      <c r="C87" s="61">
        <v>86888</v>
      </c>
      <c r="D87" s="50">
        <v>44348</v>
      </c>
      <c r="E87" s="16" t="s">
        <v>79</v>
      </c>
      <c r="F87" s="15" t="s">
        <v>0</v>
      </c>
      <c r="G87" s="16">
        <v>4</v>
      </c>
      <c r="H87" s="5">
        <v>417.39</v>
      </c>
      <c r="I87" s="5">
        <f t="shared" ref="I87" si="63">G87*H87</f>
        <v>1669.56</v>
      </c>
      <c r="J87" s="5">
        <v>15.98</v>
      </c>
      <c r="K87" s="5">
        <f>J87*G87</f>
        <v>63.92</v>
      </c>
      <c r="L87" s="20">
        <f>J87+H87</f>
        <v>433.37</v>
      </c>
      <c r="M87" s="41">
        <f>K103</f>
        <v>0.25</v>
      </c>
      <c r="N87" s="6">
        <f>ROUND(($I87)*(1+$M87),2)</f>
        <v>2086.9499999999998</v>
      </c>
      <c r="O87" s="6">
        <f>ROUND(($K87)*(1+$M87),2)</f>
        <v>79.900000000000006</v>
      </c>
      <c r="P87" s="6">
        <f>ROUND((K87+I87)*(1+M87),2)</f>
        <v>2166.85</v>
      </c>
    </row>
    <row r="88" spans="1:24" s="23" customFormat="1" outlineLevel="1" x14ac:dyDescent="0.3">
      <c r="A88" s="22" t="s">
        <v>110</v>
      </c>
      <c r="B88" s="38" t="s">
        <v>105</v>
      </c>
      <c r="C88" s="62" t="s">
        <v>195</v>
      </c>
      <c r="D88" s="50">
        <v>44348</v>
      </c>
      <c r="E88" s="16" t="s">
        <v>196</v>
      </c>
      <c r="F88" s="15" t="s">
        <v>0</v>
      </c>
      <c r="G88" s="16">
        <v>4</v>
      </c>
      <c r="H88" s="5">
        <v>112.7</v>
      </c>
      <c r="I88" s="5">
        <f t="shared" ref="I88" si="64">G88*H88</f>
        <v>450.8</v>
      </c>
      <c r="J88" s="5">
        <v>18.309999999999999</v>
      </c>
      <c r="K88" s="5">
        <f t="shared" ref="K88:K90" si="65">J88*G88</f>
        <v>73.239999999999995</v>
      </c>
      <c r="L88" s="20">
        <f t="shared" ref="L88" si="66">J88+H88</f>
        <v>131.01</v>
      </c>
      <c r="M88" s="41">
        <f>K103</f>
        <v>0.25</v>
      </c>
      <c r="N88" s="6">
        <f t="shared" ref="N88:N91" si="67">ROUND(($I88)*(1+$M88),2)</f>
        <v>563.5</v>
      </c>
      <c r="O88" s="6">
        <f t="shared" ref="O88:O91" si="68">ROUND(($K88)*(1+$M88),2)</f>
        <v>91.55</v>
      </c>
      <c r="P88" s="6">
        <f t="shared" ref="P88:P90" si="69">ROUND((K88+I88)*(1+M88),2)</f>
        <v>655.04999999999995</v>
      </c>
    </row>
    <row r="89" spans="1:24" s="23" customFormat="1" outlineLevel="1" x14ac:dyDescent="0.3">
      <c r="A89" s="22" t="s">
        <v>111</v>
      </c>
      <c r="B89" s="38" t="s">
        <v>105</v>
      </c>
      <c r="C89" s="62" t="s">
        <v>185</v>
      </c>
      <c r="D89" s="50">
        <v>44348</v>
      </c>
      <c r="E89" s="25" t="s">
        <v>184</v>
      </c>
      <c r="F89" s="15" t="s">
        <v>0</v>
      </c>
      <c r="G89" s="16">
        <v>2</v>
      </c>
      <c r="H89" s="5">
        <v>575.1</v>
      </c>
      <c r="I89" s="5">
        <f>G89*H89</f>
        <v>1150.2</v>
      </c>
      <c r="J89" s="5">
        <v>17.920000000000002</v>
      </c>
      <c r="K89" s="5">
        <f t="shared" si="65"/>
        <v>35.840000000000003</v>
      </c>
      <c r="L89" s="20">
        <f>J89+H89</f>
        <v>593.02</v>
      </c>
      <c r="M89" s="41">
        <f>K103</f>
        <v>0.25</v>
      </c>
      <c r="N89" s="6">
        <f t="shared" si="67"/>
        <v>1437.75</v>
      </c>
      <c r="O89" s="6">
        <f t="shared" si="68"/>
        <v>44.8</v>
      </c>
      <c r="P89" s="6">
        <f t="shared" si="69"/>
        <v>1482.55</v>
      </c>
    </row>
    <row r="90" spans="1:24" s="87" customFormat="1" outlineLevel="1" x14ac:dyDescent="0.3">
      <c r="A90" s="75" t="s">
        <v>112</v>
      </c>
      <c r="B90" s="76" t="s">
        <v>105</v>
      </c>
      <c r="C90" s="62" t="s">
        <v>187</v>
      </c>
      <c r="D90" s="50">
        <v>44348</v>
      </c>
      <c r="E90" s="79" t="s">
        <v>186</v>
      </c>
      <c r="F90" s="80" t="s">
        <v>0</v>
      </c>
      <c r="G90" s="81">
        <v>3.2</v>
      </c>
      <c r="H90" s="82">
        <v>230.04</v>
      </c>
      <c r="I90" s="82">
        <f>G90*H90</f>
        <v>736.12800000000004</v>
      </c>
      <c r="J90" s="82">
        <v>9.5299999999999994</v>
      </c>
      <c r="K90" s="82">
        <f t="shared" si="65"/>
        <v>30.495999999999999</v>
      </c>
      <c r="L90" s="83">
        <f>J90+H90</f>
        <v>239.57</v>
      </c>
      <c r="M90" s="84">
        <f>K103</f>
        <v>0.25</v>
      </c>
      <c r="N90" s="6">
        <f t="shared" si="67"/>
        <v>920.16</v>
      </c>
      <c r="O90" s="6">
        <f t="shared" si="68"/>
        <v>38.119999999999997</v>
      </c>
      <c r="P90" s="85">
        <f t="shared" si="69"/>
        <v>958.28</v>
      </c>
      <c r="R90" s="76" t="s">
        <v>105</v>
      </c>
      <c r="S90" s="77" t="s">
        <v>113</v>
      </c>
      <c r="T90" s="78">
        <v>43191</v>
      </c>
      <c r="U90" s="82">
        <v>1974.97</v>
      </c>
      <c r="V90" s="82">
        <v>4.54</v>
      </c>
      <c r="W90" s="86">
        <f>U90*$V$6</f>
        <v>2322.3474733000003</v>
      </c>
      <c r="X90" s="86">
        <f>V90*$V$6</f>
        <v>5.3385406000000009</v>
      </c>
    </row>
    <row r="91" spans="1:24" s="87" customFormat="1" outlineLevel="1" x14ac:dyDescent="0.3">
      <c r="A91" s="75" t="s">
        <v>191</v>
      </c>
      <c r="B91" s="76" t="s">
        <v>105</v>
      </c>
      <c r="C91" s="62" t="s">
        <v>193</v>
      </c>
      <c r="D91" s="50">
        <v>44378</v>
      </c>
      <c r="E91" s="79" t="s">
        <v>194</v>
      </c>
      <c r="F91" s="80" t="s">
        <v>0</v>
      </c>
      <c r="G91" s="81">
        <v>4</v>
      </c>
      <c r="H91" s="82">
        <v>297.89</v>
      </c>
      <c r="I91" s="82">
        <f>G91*H91</f>
        <v>1191.56</v>
      </c>
      <c r="J91" s="82">
        <v>45.77</v>
      </c>
      <c r="K91" s="82">
        <f t="shared" ref="K91" si="70">J91*G91</f>
        <v>183.08</v>
      </c>
      <c r="L91" s="83">
        <f>J91+H91</f>
        <v>343.65999999999997</v>
      </c>
      <c r="M91" s="84">
        <f>K103</f>
        <v>0.25</v>
      </c>
      <c r="N91" s="6">
        <f t="shared" si="67"/>
        <v>1489.45</v>
      </c>
      <c r="O91" s="6">
        <f t="shared" si="68"/>
        <v>228.85</v>
      </c>
      <c r="P91" s="85">
        <f t="shared" ref="P91" si="71">ROUND((K91+I91)*(1+M91),2)</f>
        <v>1718.3</v>
      </c>
      <c r="R91" s="76" t="s">
        <v>105</v>
      </c>
      <c r="S91" s="77" t="s">
        <v>192</v>
      </c>
      <c r="T91" s="78">
        <v>43221</v>
      </c>
      <c r="U91" s="82">
        <v>1974.97</v>
      </c>
      <c r="V91" s="82">
        <v>4.54</v>
      </c>
      <c r="W91" s="86">
        <f>U91*$V$6</f>
        <v>2322.3474733000003</v>
      </c>
      <c r="X91" s="86">
        <f>V91*$V$6</f>
        <v>5.3385406000000009</v>
      </c>
    </row>
    <row r="92" spans="1:24" s="87" customFormat="1" outlineLevel="1" x14ac:dyDescent="0.3">
      <c r="A92" s="157"/>
      <c r="B92" s="148"/>
      <c r="C92" s="62"/>
      <c r="D92" s="155"/>
      <c r="E92" s="79"/>
      <c r="F92" s="149"/>
      <c r="G92" s="79"/>
      <c r="H92" s="150"/>
      <c r="I92" s="150"/>
      <c r="J92" s="150"/>
      <c r="K92" s="150"/>
      <c r="L92" s="150"/>
      <c r="M92" s="151"/>
      <c r="N92" s="11"/>
      <c r="O92" s="11"/>
      <c r="P92" s="85"/>
      <c r="R92" s="152"/>
      <c r="S92" s="158"/>
      <c r="T92" s="153"/>
      <c r="U92" s="154"/>
      <c r="V92" s="154"/>
      <c r="W92" s="86"/>
      <c r="X92" s="86"/>
    </row>
    <row r="93" spans="1:24" s="27" customFormat="1" outlineLevel="1" x14ac:dyDescent="0.3">
      <c r="A93" s="24"/>
      <c r="B93" s="40"/>
      <c r="C93" s="54"/>
      <c r="D93" s="40"/>
      <c r="E93" s="25"/>
      <c r="F93" s="26"/>
      <c r="G93" s="25"/>
      <c r="H93" s="11"/>
      <c r="I93" s="11"/>
      <c r="J93" s="11"/>
      <c r="K93" s="11"/>
      <c r="L93" s="11"/>
      <c r="M93" s="42"/>
      <c r="N93" s="11"/>
      <c r="O93" s="11"/>
      <c r="P93" s="6"/>
    </row>
    <row r="94" spans="1:24" x14ac:dyDescent="0.3">
      <c r="A94" s="46">
        <v>13</v>
      </c>
      <c r="B94" s="132" t="s">
        <v>46</v>
      </c>
      <c r="C94" s="133"/>
      <c r="D94" s="133"/>
      <c r="E94" s="133"/>
      <c r="F94" s="133"/>
      <c r="G94" s="133"/>
      <c r="H94" s="133"/>
      <c r="I94" s="49">
        <f>SUM(I95:I98)</f>
        <v>6338.2019999999993</v>
      </c>
      <c r="J94" s="133"/>
      <c r="K94" s="49">
        <f>SUM(K95:K98)</f>
        <v>539.70400000000006</v>
      </c>
      <c r="L94" s="47" t="s">
        <v>77</v>
      </c>
      <c r="M94" s="48"/>
      <c r="N94" s="49">
        <f t="shared" ref="N94:O94" si="72">SUM(N95:N98)</f>
        <v>7922.75</v>
      </c>
      <c r="O94" s="49">
        <f t="shared" si="72"/>
        <v>674.63</v>
      </c>
      <c r="P94" s="49">
        <f>SUM(P95:P98)</f>
        <v>8597.3799999999992</v>
      </c>
    </row>
    <row r="95" spans="1:24" s="23" customFormat="1" outlineLevel="1" x14ac:dyDescent="0.3">
      <c r="A95" s="22" t="s">
        <v>11</v>
      </c>
      <c r="B95" s="38" t="s">
        <v>105</v>
      </c>
      <c r="C95" s="61">
        <v>92539</v>
      </c>
      <c r="D95" s="50">
        <v>44348</v>
      </c>
      <c r="E95" s="16" t="s">
        <v>78</v>
      </c>
      <c r="F95" s="15" t="s">
        <v>197</v>
      </c>
      <c r="G95" s="16">
        <v>4</v>
      </c>
      <c r="H95" s="5">
        <v>248.59</v>
      </c>
      <c r="I95" s="5">
        <f>G95*H95</f>
        <v>994.36</v>
      </c>
      <c r="J95" s="5">
        <v>69.34</v>
      </c>
      <c r="K95" s="5">
        <f>J95*G95</f>
        <v>277.36</v>
      </c>
      <c r="L95" s="20">
        <f>J95+H95</f>
        <v>317.93</v>
      </c>
      <c r="M95" s="41">
        <f>K103</f>
        <v>0.25</v>
      </c>
      <c r="N95" s="6">
        <f>ROUND(($I95)*(1+$M95),2)</f>
        <v>1242.95</v>
      </c>
      <c r="O95" s="6">
        <f>ROUND(($K95)*(1+$M95),2)</f>
        <v>346.7</v>
      </c>
      <c r="P95" s="6">
        <f>ROUND((K95+I95)*(1+M95),2)</f>
        <v>1589.65</v>
      </c>
    </row>
    <row r="96" spans="1:24" s="23" customFormat="1" outlineLevel="1" x14ac:dyDescent="0.3">
      <c r="A96" s="22" t="s">
        <v>97</v>
      </c>
      <c r="B96" s="38" t="s">
        <v>105</v>
      </c>
      <c r="C96" s="55" t="s">
        <v>138</v>
      </c>
      <c r="D96" s="50">
        <v>44348</v>
      </c>
      <c r="E96" s="16" t="s">
        <v>124</v>
      </c>
      <c r="F96" s="15" t="s">
        <v>1</v>
      </c>
      <c r="G96" s="16">
        <v>36.200000000000003</v>
      </c>
      <c r="H96" s="5">
        <v>91.64</v>
      </c>
      <c r="I96" s="5">
        <f>G96*H96</f>
        <v>3317.3680000000004</v>
      </c>
      <c r="J96" s="5">
        <v>2.41</v>
      </c>
      <c r="K96" s="5">
        <f>J96*G96</f>
        <v>87.242000000000019</v>
      </c>
      <c r="L96" s="20">
        <f t="shared" ref="L96:L98" si="73">J96+H96</f>
        <v>94.05</v>
      </c>
      <c r="M96" s="41">
        <f>K103</f>
        <v>0.25</v>
      </c>
      <c r="N96" s="6">
        <f t="shared" ref="N96:N98" si="74">ROUND(($I96)*(1+$M96),2)</f>
        <v>4146.71</v>
      </c>
      <c r="O96" s="6">
        <f t="shared" ref="O96:O98" si="75">ROUND(($K96)*(1+$M96),2)</f>
        <v>109.05</v>
      </c>
      <c r="P96" s="6">
        <f t="shared" ref="P96:P98" si="76">ROUND((K96+I96)*(1+M96),2)</f>
        <v>4255.76</v>
      </c>
    </row>
    <row r="97" spans="1:16" s="23" customFormat="1" outlineLevel="1" x14ac:dyDescent="0.3">
      <c r="A97" s="22" t="s">
        <v>98</v>
      </c>
      <c r="B97" s="38" t="s">
        <v>105</v>
      </c>
      <c r="C97" s="55" t="s">
        <v>198</v>
      </c>
      <c r="D97" s="50">
        <v>44348</v>
      </c>
      <c r="E97" s="16" t="s">
        <v>109</v>
      </c>
      <c r="F97" s="15" t="s">
        <v>2</v>
      </c>
      <c r="G97" s="16">
        <v>5.8</v>
      </c>
      <c r="H97" s="5">
        <v>94.33</v>
      </c>
      <c r="I97" s="5">
        <f>G97*H97</f>
        <v>547.11399999999992</v>
      </c>
      <c r="J97" s="5">
        <v>8.59</v>
      </c>
      <c r="K97" s="5">
        <f>J97*G97</f>
        <v>49.821999999999996</v>
      </c>
      <c r="L97" s="20">
        <f t="shared" si="73"/>
        <v>102.92</v>
      </c>
      <c r="M97" s="41">
        <f>K103</f>
        <v>0.25</v>
      </c>
      <c r="N97" s="6">
        <f t="shared" si="74"/>
        <v>683.89</v>
      </c>
      <c r="O97" s="6">
        <f t="shared" si="75"/>
        <v>62.28</v>
      </c>
      <c r="P97" s="6">
        <f t="shared" si="76"/>
        <v>746.17</v>
      </c>
    </row>
    <row r="98" spans="1:16" outlineLevel="1" x14ac:dyDescent="0.3">
      <c r="A98" s="22" t="s">
        <v>99</v>
      </c>
      <c r="B98" s="38" t="s">
        <v>105</v>
      </c>
      <c r="C98" s="61">
        <v>100327</v>
      </c>
      <c r="D98" s="50">
        <v>44348</v>
      </c>
      <c r="E98" s="3" t="s">
        <v>199</v>
      </c>
      <c r="F98" s="4" t="s">
        <v>2</v>
      </c>
      <c r="G98" s="3">
        <v>24</v>
      </c>
      <c r="H98" s="5">
        <v>61.64</v>
      </c>
      <c r="I98" s="5">
        <f>G98*H98</f>
        <v>1479.3600000000001</v>
      </c>
      <c r="J98" s="5">
        <v>5.22</v>
      </c>
      <c r="K98" s="5">
        <f>J98*G98</f>
        <v>125.28</v>
      </c>
      <c r="L98" s="20">
        <f t="shared" si="73"/>
        <v>66.86</v>
      </c>
      <c r="M98" s="41">
        <f>K103</f>
        <v>0.25</v>
      </c>
      <c r="N98" s="6">
        <f t="shared" si="74"/>
        <v>1849.2</v>
      </c>
      <c r="O98" s="6">
        <f t="shared" si="75"/>
        <v>156.6</v>
      </c>
      <c r="P98" s="6">
        <f t="shared" si="76"/>
        <v>2005.8</v>
      </c>
    </row>
    <row r="99" spans="1:16" s="8" customFormat="1" outlineLevel="1" x14ac:dyDescent="0.3">
      <c r="A99" s="12"/>
      <c r="B99" s="39"/>
      <c r="C99" s="52"/>
      <c r="D99" s="39"/>
      <c r="E99" s="9"/>
      <c r="F99" s="10"/>
      <c r="G99" s="9"/>
      <c r="H99" s="11"/>
      <c r="I99" s="11"/>
      <c r="J99" s="11"/>
      <c r="K99" s="11"/>
      <c r="L99" s="11"/>
      <c r="M99" s="42"/>
      <c r="N99" s="11"/>
      <c r="O99" s="11"/>
      <c r="P99" s="6"/>
    </row>
    <row r="100" spans="1:16" x14ac:dyDescent="0.3">
      <c r="A100" s="46">
        <v>14</v>
      </c>
      <c r="B100" s="132" t="s">
        <v>47</v>
      </c>
      <c r="C100" s="133"/>
      <c r="D100" s="133"/>
      <c r="E100" s="133"/>
      <c r="F100" s="133"/>
      <c r="G100" s="133"/>
      <c r="H100" s="133"/>
      <c r="I100" s="49">
        <f>SUM(I101:I101)</f>
        <v>85.72290000000001</v>
      </c>
      <c r="J100" s="133"/>
      <c r="K100" s="49">
        <f>SUM(K101:K101)</f>
        <v>198.935</v>
      </c>
      <c r="L100" s="47" t="s">
        <v>77</v>
      </c>
      <c r="M100" s="48"/>
      <c r="N100" s="49">
        <f t="shared" ref="N100:O100" si="77">SUM(N101:N101)</f>
        <v>107.15</v>
      </c>
      <c r="O100" s="49">
        <f t="shared" si="77"/>
        <v>248.67</v>
      </c>
      <c r="P100" s="49">
        <f>SUM(P101:P101)</f>
        <v>355.82</v>
      </c>
    </row>
    <row r="101" spans="1:16" outlineLevel="1" x14ac:dyDescent="0.3">
      <c r="A101" s="34" t="s">
        <v>12</v>
      </c>
      <c r="B101" s="38" t="s">
        <v>105</v>
      </c>
      <c r="C101" s="51" t="s">
        <v>107</v>
      </c>
      <c r="D101" s="50">
        <v>44348</v>
      </c>
      <c r="E101" s="3" t="s">
        <v>48</v>
      </c>
      <c r="F101" s="4" t="s">
        <v>1</v>
      </c>
      <c r="G101" s="3">
        <v>36.17</v>
      </c>
      <c r="H101" s="5">
        <v>2.37</v>
      </c>
      <c r="I101" s="5">
        <f>G101*H101</f>
        <v>85.72290000000001</v>
      </c>
      <c r="J101" s="5">
        <v>5.5</v>
      </c>
      <c r="K101" s="5">
        <f>J101*G101</f>
        <v>198.935</v>
      </c>
      <c r="L101" s="20">
        <f>J101+H101</f>
        <v>7.87</v>
      </c>
      <c r="M101" s="41">
        <f>K103</f>
        <v>0.25</v>
      </c>
      <c r="N101" s="6">
        <f>ROUND(($I101)*(1+$M101),2)</f>
        <v>107.15</v>
      </c>
      <c r="O101" s="6">
        <f>ROUND(($K101)*(1+$M101),2)</f>
        <v>248.67</v>
      </c>
      <c r="P101" s="6">
        <f>ROUND((K101+I101)*(1+M101),2)</f>
        <v>355.82</v>
      </c>
    </row>
    <row r="102" spans="1:16" ht="15" thickBot="1" x14ac:dyDescent="0.35"/>
    <row r="103" spans="1:16" ht="15" thickBot="1" x14ac:dyDescent="0.35">
      <c r="A103" s="7"/>
      <c r="B103" s="7"/>
      <c r="C103" s="56"/>
      <c r="D103" s="7"/>
      <c r="E103" s="134"/>
      <c r="F103" s="134"/>
      <c r="G103" s="134"/>
      <c r="H103" s="134"/>
      <c r="I103" s="136"/>
      <c r="J103" s="159" t="s">
        <v>200</v>
      </c>
      <c r="K103" s="160">
        <v>0.25</v>
      </c>
      <c r="L103" s="37"/>
      <c r="M103" s="58" t="s">
        <v>123</v>
      </c>
      <c r="N103" s="59">
        <f>N100+N94+N86+N82+N78+N63+N49+N43+N38+N33+N26+N19+N13+N9</f>
        <v>113081.62999999999</v>
      </c>
      <c r="O103" s="59">
        <f>O100+O94+O86+O82+O78+O63+O49+O43+O38+O33+O26+O19+O13+O9</f>
        <v>22261.69</v>
      </c>
      <c r="P103" s="59">
        <f>P100+P94+P86+P82+P78+P63+P49+P43+P38+P33+P26+P19+P13+P9</f>
        <v>135343.31999999998</v>
      </c>
    </row>
    <row r="104" spans="1:16" x14ac:dyDescent="0.3">
      <c r="H104" s="136"/>
      <c r="I104" s="8"/>
      <c r="J104" s="136"/>
      <c r="K104" s="8"/>
    </row>
    <row r="105" spans="1:16" x14ac:dyDescent="0.3">
      <c r="H105" s="65"/>
      <c r="J105" s="65"/>
      <c r="L105" s="65"/>
      <c r="O105" s="65"/>
    </row>
  </sheetData>
  <mergeCells count="27">
    <mergeCell ref="A1:P1"/>
    <mergeCell ref="E53:K53"/>
    <mergeCell ref="E64:K64"/>
    <mergeCell ref="E69:K69"/>
    <mergeCell ref="E50:K50"/>
    <mergeCell ref="L7:L8"/>
    <mergeCell ref="E44:K44"/>
    <mergeCell ref="E46:K46"/>
    <mergeCell ref="A2:P2"/>
    <mergeCell ref="A3:P3"/>
    <mergeCell ref="A4:P4"/>
    <mergeCell ref="E27:K27"/>
    <mergeCell ref="E30:K30"/>
    <mergeCell ref="A5:P5"/>
    <mergeCell ref="A6:P6"/>
    <mergeCell ref="A7:A8"/>
    <mergeCell ref="E7:E8"/>
    <mergeCell ref="F7:F8"/>
    <mergeCell ref="G7:G8"/>
    <mergeCell ref="P7:P8"/>
    <mergeCell ref="H7:I7"/>
    <mergeCell ref="J7:K7"/>
    <mergeCell ref="E32:K32"/>
    <mergeCell ref="B7:B8"/>
    <mergeCell ref="C7:C8"/>
    <mergeCell ref="D7:D8"/>
    <mergeCell ref="M7:M8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3181-A054-4D8C-9CCF-A7A23C66A589}">
  <sheetPr>
    <pageSetUpPr fitToPage="1"/>
  </sheetPr>
  <dimension ref="A1:S22"/>
  <sheetViews>
    <sheetView zoomScale="70" zoomScaleNormal="70" workbookViewId="0">
      <selection activeCell="S1" sqref="A1:S22"/>
    </sheetView>
  </sheetViews>
  <sheetFormatPr defaultRowHeight="14.4" x14ac:dyDescent="0.3"/>
  <cols>
    <col min="1" max="1" width="4.5546875" bestFit="1" customWidth="1"/>
    <col min="2" max="2" width="48.109375" customWidth="1"/>
    <col min="3" max="3" width="15.77734375" bestFit="1" customWidth="1"/>
    <col min="4" max="4" width="17.33203125" bestFit="1" customWidth="1"/>
    <col min="5" max="5" width="15.77734375" bestFit="1" customWidth="1"/>
    <col min="6" max="6" width="10.5546875" bestFit="1" customWidth="1"/>
    <col min="7" max="7" width="9.21875" bestFit="1" customWidth="1"/>
    <col min="8" max="8" width="8.21875" bestFit="1" customWidth="1"/>
    <col min="9" max="9" width="10.5546875" bestFit="1" customWidth="1"/>
    <col min="10" max="10" width="9.21875" bestFit="1" customWidth="1"/>
    <col min="11" max="11" width="7.21875" bestFit="1" customWidth="1"/>
    <col min="12" max="12" width="10.5546875" bestFit="1" customWidth="1"/>
    <col min="13" max="13" width="9.21875" bestFit="1" customWidth="1"/>
    <col min="14" max="14" width="7.21875" bestFit="1" customWidth="1"/>
    <col min="15" max="15" width="10.5546875" bestFit="1" customWidth="1"/>
    <col min="16" max="16" width="9.21875" bestFit="1" customWidth="1"/>
    <col min="17" max="17" width="8.21875" bestFit="1" customWidth="1"/>
    <col min="18" max="18" width="14" customWidth="1"/>
  </cols>
  <sheetData>
    <row r="1" spans="1:19" ht="20.399999999999999" x14ac:dyDescent="0.3">
      <c r="A1" s="91"/>
      <c r="B1" s="91" t="s">
        <v>141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9" ht="18" x14ac:dyDescent="0.3">
      <c r="A2" s="92"/>
      <c r="B2" s="93" t="str">
        <f>PO!A3</f>
        <v>Nome do Empreendimento: Banheiro Público</v>
      </c>
      <c r="C2" s="94"/>
      <c r="D2" s="94"/>
      <c r="E2" s="95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9" ht="18" x14ac:dyDescent="0.3">
      <c r="A3" s="92"/>
      <c r="B3" s="93" t="str">
        <f>PO!A4</f>
        <v>Endereço Completo: Praça Honório Corso / Rua Marechal Floriano</v>
      </c>
      <c r="C3" s="97"/>
      <c r="D3" s="97"/>
      <c r="E3" s="95"/>
      <c r="F3" s="98"/>
      <c r="G3" s="98"/>
      <c r="H3" s="98"/>
      <c r="I3" s="193"/>
      <c r="J3" s="193"/>
      <c r="K3" s="193"/>
      <c r="L3" s="98"/>
      <c r="M3" s="98"/>
      <c r="N3" s="98"/>
      <c r="O3" s="193"/>
      <c r="P3" s="193"/>
      <c r="Q3" s="193"/>
    </row>
    <row r="4" spans="1:19" ht="18.600000000000001" thickBot="1" x14ac:dyDescent="0.35">
      <c r="A4" s="99"/>
      <c r="B4" s="100" t="str">
        <f>PO!A5</f>
        <v>Cidade / UF: São José do Ouro - RS</v>
      </c>
      <c r="C4" s="101"/>
      <c r="D4" s="101"/>
      <c r="E4" s="102"/>
      <c r="F4" s="103"/>
      <c r="G4" s="104"/>
      <c r="H4" s="104"/>
      <c r="I4" s="103"/>
      <c r="J4" s="104"/>
      <c r="K4" s="104"/>
      <c r="L4" s="103"/>
      <c r="M4" s="104"/>
      <c r="N4" s="104"/>
      <c r="O4" s="103"/>
      <c r="P4" s="104"/>
      <c r="Q4" s="104"/>
    </row>
    <row r="5" spans="1:19" ht="16.2" thickBot="1" x14ac:dyDescent="0.35">
      <c r="A5" s="105" t="s">
        <v>142</v>
      </c>
      <c r="B5" s="106" t="s">
        <v>143</v>
      </c>
      <c r="C5" s="107" t="s">
        <v>144</v>
      </c>
      <c r="D5" s="108" t="s">
        <v>145</v>
      </c>
      <c r="E5" s="109" t="s">
        <v>146</v>
      </c>
      <c r="F5" s="194" t="s">
        <v>147</v>
      </c>
      <c r="G5" s="195"/>
      <c r="H5" s="196"/>
      <c r="I5" s="194" t="s">
        <v>148</v>
      </c>
      <c r="J5" s="195"/>
      <c r="K5" s="196"/>
      <c r="L5" s="194" t="s">
        <v>149</v>
      </c>
      <c r="M5" s="195"/>
      <c r="N5" s="196"/>
      <c r="O5" s="194" t="s">
        <v>150</v>
      </c>
      <c r="P5" s="195"/>
      <c r="Q5" s="196"/>
      <c r="R5" s="197" t="s">
        <v>156</v>
      </c>
      <c r="S5" s="198"/>
    </row>
    <row r="6" spans="1:19" ht="16.2" thickBot="1" x14ac:dyDescent="0.35">
      <c r="A6" s="110"/>
      <c r="B6" s="111"/>
      <c r="C6" s="137">
        <f>SUM(C7:C20)</f>
        <v>113081.62999999998</v>
      </c>
      <c r="D6" s="137">
        <f>SUM(D7:D20)</f>
        <v>22261.69</v>
      </c>
      <c r="E6" s="137">
        <f>D6+C6</f>
        <v>135343.31999999998</v>
      </c>
      <c r="F6" s="112" t="s">
        <v>151</v>
      </c>
      <c r="G6" s="113" t="s">
        <v>155</v>
      </c>
      <c r="H6" s="114" t="s">
        <v>152</v>
      </c>
      <c r="I6" s="112" t="s">
        <v>151</v>
      </c>
      <c r="J6" s="113" t="s">
        <v>155</v>
      </c>
      <c r="K6" s="114" t="s">
        <v>152</v>
      </c>
      <c r="L6" s="112" t="s">
        <v>151</v>
      </c>
      <c r="M6" s="113" t="s">
        <v>155</v>
      </c>
      <c r="N6" s="114" t="s">
        <v>152</v>
      </c>
      <c r="O6" s="112" t="s">
        <v>151</v>
      </c>
      <c r="P6" s="113" t="s">
        <v>155</v>
      </c>
      <c r="Q6" s="114" t="s">
        <v>152</v>
      </c>
      <c r="R6" s="143" t="s">
        <v>140</v>
      </c>
      <c r="S6" s="114" t="s">
        <v>152</v>
      </c>
    </row>
    <row r="7" spans="1:19" ht="16.2" thickBot="1" x14ac:dyDescent="0.35">
      <c r="A7" s="115">
        <v>1</v>
      </c>
      <c r="B7" s="116" t="str">
        <f>PO!B9</f>
        <v>SERVIÇOS PRELIMINARES</v>
      </c>
      <c r="C7" s="142">
        <f>PO!N9</f>
        <v>13938.84</v>
      </c>
      <c r="D7" s="142">
        <f>PO!O9</f>
        <v>1810.98</v>
      </c>
      <c r="E7" s="137">
        <f t="shared" ref="E7:E20" si="0">D7+C7</f>
        <v>15749.82</v>
      </c>
      <c r="F7" s="139">
        <f>(H7*$C7)</f>
        <v>13938.84</v>
      </c>
      <c r="G7" s="118">
        <f>(H7*$D7)</f>
        <v>1810.98</v>
      </c>
      <c r="H7" s="119">
        <v>1</v>
      </c>
      <c r="I7" s="117">
        <f>(K7*$C7)</f>
        <v>0</v>
      </c>
      <c r="J7" s="118">
        <f>(K7*$D7)</f>
        <v>0</v>
      </c>
      <c r="K7" s="119"/>
      <c r="L7" s="117">
        <f>(N7*$C7)</f>
        <v>0</v>
      </c>
      <c r="M7" s="118">
        <f>(N7*$D7)</f>
        <v>0</v>
      </c>
      <c r="N7" s="119"/>
      <c r="O7" s="117">
        <f>(Q7*$C7)</f>
        <v>0</v>
      </c>
      <c r="P7" s="118">
        <f>(Q7*$D7)</f>
        <v>0</v>
      </c>
      <c r="Q7" s="119"/>
      <c r="R7" s="118">
        <f>F7+G7+I7+J7+L7+M7+O7+P7</f>
        <v>15749.82</v>
      </c>
      <c r="S7" s="119">
        <f>Q7+N7+K7+H7</f>
        <v>1</v>
      </c>
    </row>
    <row r="8" spans="1:19" ht="16.2" thickBot="1" x14ac:dyDescent="0.35">
      <c r="A8" s="120">
        <v>2</v>
      </c>
      <c r="B8" s="121" t="str">
        <f>PO!B13</f>
        <v>FUNDAÇÕES - INFRAESTRUTURA</v>
      </c>
      <c r="C8" s="142">
        <f>PO!N13</f>
        <v>8476.4700000000012</v>
      </c>
      <c r="D8" s="142">
        <f>PO!O13</f>
        <v>1290.92</v>
      </c>
      <c r="E8" s="137">
        <f t="shared" si="0"/>
        <v>9767.3900000000012</v>
      </c>
      <c r="F8" s="139">
        <f t="shared" ref="F8:F20" si="1">(H8*$C8)</f>
        <v>8476.4700000000012</v>
      </c>
      <c r="G8" s="118">
        <f t="shared" ref="G8:G20" si="2">(H8*$D8)</f>
        <v>1290.92</v>
      </c>
      <c r="H8" s="119">
        <v>1</v>
      </c>
      <c r="I8" s="117">
        <f t="shared" ref="I8:I20" si="3">(K8*$C8)</f>
        <v>0</v>
      </c>
      <c r="J8" s="118">
        <f t="shared" ref="J8:J20" si="4">(K8*$D8)</f>
        <v>0</v>
      </c>
      <c r="K8" s="119"/>
      <c r="L8" s="117">
        <f t="shared" ref="L8:L20" si="5">(N8*$C8)</f>
        <v>0</v>
      </c>
      <c r="M8" s="118">
        <f t="shared" ref="M8:M20" si="6">(N8*$D8)</f>
        <v>0</v>
      </c>
      <c r="N8" s="119"/>
      <c r="O8" s="117">
        <f t="shared" ref="O8:O20" si="7">(Q8*$C8)</f>
        <v>0</v>
      </c>
      <c r="P8" s="118">
        <f t="shared" ref="P8:P20" si="8">(Q8*$D8)</f>
        <v>0</v>
      </c>
      <c r="Q8" s="119"/>
      <c r="R8" s="118">
        <f t="shared" ref="R8:R20" si="9">F8+G8+I8+J8+L8+M8+O8+P8</f>
        <v>9767.3900000000012</v>
      </c>
      <c r="S8" s="119">
        <f t="shared" ref="S8:S20" si="10">Q8+N8+K8+H8</f>
        <v>1</v>
      </c>
    </row>
    <row r="9" spans="1:19" ht="16.2" thickBot="1" x14ac:dyDescent="0.35">
      <c r="A9" s="120">
        <v>3</v>
      </c>
      <c r="B9" s="121" t="str">
        <f>PO!B19</f>
        <v>ESTRUTURA - SUPRAESTRUTURA</v>
      </c>
      <c r="C9" s="142">
        <f>PO!N19</f>
        <v>16433.62</v>
      </c>
      <c r="D9" s="142">
        <f>PO!O19</f>
        <v>1824.8400000000001</v>
      </c>
      <c r="E9" s="137">
        <f t="shared" si="0"/>
        <v>18258.46</v>
      </c>
      <c r="F9" s="139">
        <f t="shared" si="1"/>
        <v>9860.1719999999987</v>
      </c>
      <c r="G9" s="118">
        <f t="shared" si="2"/>
        <v>1094.904</v>
      </c>
      <c r="H9" s="119">
        <v>0.6</v>
      </c>
      <c r="I9" s="117">
        <f t="shared" si="3"/>
        <v>6573.4480000000003</v>
      </c>
      <c r="J9" s="118">
        <f t="shared" si="4"/>
        <v>729.93600000000015</v>
      </c>
      <c r="K9" s="119">
        <v>0.4</v>
      </c>
      <c r="L9" s="117">
        <f t="shared" si="5"/>
        <v>0</v>
      </c>
      <c r="M9" s="118">
        <f t="shared" si="6"/>
        <v>0</v>
      </c>
      <c r="N9" s="119"/>
      <c r="O9" s="117">
        <f t="shared" si="7"/>
        <v>0</v>
      </c>
      <c r="P9" s="118">
        <f t="shared" si="8"/>
        <v>0</v>
      </c>
      <c r="Q9" s="119"/>
      <c r="R9" s="118">
        <f t="shared" si="9"/>
        <v>18258.46</v>
      </c>
      <c r="S9" s="119">
        <f t="shared" si="10"/>
        <v>1</v>
      </c>
    </row>
    <row r="10" spans="1:19" ht="16.2" thickBot="1" x14ac:dyDescent="0.35">
      <c r="A10" s="115">
        <v>4</v>
      </c>
      <c r="B10" s="116" t="str">
        <f>PO!B26</f>
        <v>CONTRAPISOS, PISOS E ARREMATES</v>
      </c>
      <c r="C10" s="142">
        <f>PO!N26</f>
        <v>8426.16</v>
      </c>
      <c r="D10" s="142">
        <f>PO!O26</f>
        <v>1174</v>
      </c>
      <c r="E10" s="137">
        <f t="shared" si="0"/>
        <v>9600.16</v>
      </c>
      <c r="F10" s="139">
        <f t="shared" si="1"/>
        <v>1685.232</v>
      </c>
      <c r="G10" s="118">
        <f t="shared" si="2"/>
        <v>234.8</v>
      </c>
      <c r="H10" s="119">
        <v>0.2</v>
      </c>
      <c r="I10" s="117">
        <f t="shared" si="3"/>
        <v>3370.4639999999999</v>
      </c>
      <c r="J10" s="118">
        <f t="shared" si="4"/>
        <v>469.6</v>
      </c>
      <c r="K10" s="119">
        <v>0.4</v>
      </c>
      <c r="L10" s="117">
        <f t="shared" si="5"/>
        <v>3370.4639999999999</v>
      </c>
      <c r="M10" s="118">
        <f t="shared" si="6"/>
        <v>469.6</v>
      </c>
      <c r="N10" s="119">
        <v>0.4</v>
      </c>
      <c r="O10" s="117">
        <f t="shared" si="7"/>
        <v>0</v>
      </c>
      <c r="P10" s="118">
        <f t="shared" si="8"/>
        <v>0</v>
      </c>
      <c r="Q10" s="119"/>
      <c r="R10" s="118">
        <f t="shared" si="9"/>
        <v>9600.1600000000017</v>
      </c>
      <c r="S10" s="119">
        <f t="shared" si="10"/>
        <v>1</v>
      </c>
    </row>
    <row r="11" spans="1:19" ht="16.2" thickBot="1" x14ac:dyDescent="0.35">
      <c r="A11" s="115">
        <v>5</v>
      </c>
      <c r="B11" s="121" t="str">
        <f>PO!B33</f>
        <v>PAREDES E PAINEIS</v>
      </c>
      <c r="C11" s="142">
        <f>PO!N33</f>
        <v>6392.8399999999992</v>
      </c>
      <c r="D11" s="142">
        <f>PO!O33</f>
        <v>3848.59</v>
      </c>
      <c r="E11" s="137">
        <f t="shared" si="0"/>
        <v>10241.43</v>
      </c>
      <c r="F11" s="139">
        <f t="shared" si="1"/>
        <v>0</v>
      </c>
      <c r="G11" s="118">
        <f t="shared" si="2"/>
        <v>0</v>
      </c>
      <c r="H11" s="119"/>
      <c r="I11" s="117">
        <f t="shared" si="3"/>
        <v>2557.136</v>
      </c>
      <c r="J11" s="118">
        <f t="shared" si="4"/>
        <v>1539.4360000000001</v>
      </c>
      <c r="K11" s="119">
        <v>0.4</v>
      </c>
      <c r="L11" s="117">
        <f t="shared" si="5"/>
        <v>2557.136</v>
      </c>
      <c r="M11" s="118">
        <f t="shared" si="6"/>
        <v>1539.4360000000001</v>
      </c>
      <c r="N11" s="119">
        <v>0.4</v>
      </c>
      <c r="O11" s="117">
        <f t="shared" si="7"/>
        <v>1278.568</v>
      </c>
      <c r="P11" s="118">
        <f t="shared" si="8"/>
        <v>769.71800000000007</v>
      </c>
      <c r="Q11" s="119">
        <v>0.2</v>
      </c>
      <c r="R11" s="118">
        <f t="shared" si="9"/>
        <v>10241.43</v>
      </c>
      <c r="S11" s="119">
        <f t="shared" si="10"/>
        <v>1</v>
      </c>
    </row>
    <row r="12" spans="1:19" ht="16.2" thickBot="1" x14ac:dyDescent="0.35">
      <c r="A12" s="120">
        <v>6</v>
      </c>
      <c r="B12" s="116" t="str">
        <f>PO!B38</f>
        <v>REVESTIMENTOS INERNOS, EXTERNOS E ESPECIAIS</v>
      </c>
      <c r="C12" s="142">
        <f>PO!N38</f>
        <v>13913.6</v>
      </c>
      <c r="D12" s="142">
        <f>PO!O38</f>
        <v>4377.1000000000004</v>
      </c>
      <c r="E12" s="137">
        <f t="shared" si="0"/>
        <v>18290.7</v>
      </c>
      <c r="F12" s="139">
        <f t="shared" si="1"/>
        <v>4174.08</v>
      </c>
      <c r="G12" s="118">
        <f t="shared" si="2"/>
        <v>1313.13</v>
      </c>
      <c r="H12" s="119">
        <v>0.3</v>
      </c>
      <c r="I12" s="117">
        <f t="shared" si="3"/>
        <v>4174.08</v>
      </c>
      <c r="J12" s="118">
        <f t="shared" si="4"/>
        <v>1313.13</v>
      </c>
      <c r="K12" s="119">
        <v>0.3</v>
      </c>
      <c r="L12" s="117">
        <f t="shared" si="5"/>
        <v>4174.08</v>
      </c>
      <c r="M12" s="118">
        <f t="shared" si="6"/>
        <v>1313.13</v>
      </c>
      <c r="N12" s="119">
        <v>0.3</v>
      </c>
      <c r="O12" s="117">
        <f t="shared" si="7"/>
        <v>1391.3600000000001</v>
      </c>
      <c r="P12" s="118">
        <f t="shared" si="8"/>
        <v>437.71000000000004</v>
      </c>
      <c r="Q12" s="119">
        <v>0.1</v>
      </c>
      <c r="R12" s="118">
        <f t="shared" si="9"/>
        <v>18290.7</v>
      </c>
      <c r="S12" s="119">
        <f t="shared" si="10"/>
        <v>1</v>
      </c>
    </row>
    <row r="13" spans="1:19" ht="16.2" thickBot="1" x14ac:dyDescent="0.35">
      <c r="A13" s="120">
        <v>7</v>
      </c>
      <c r="B13" s="121" t="str">
        <f>PO!B43</f>
        <v>ESQUADRIAS</v>
      </c>
      <c r="C13" s="142">
        <f>PO!N43</f>
        <v>11645.67</v>
      </c>
      <c r="D13" s="142">
        <f>PO!O43</f>
        <v>392.27000000000004</v>
      </c>
      <c r="E13" s="137">
        <f t="shared" si="0"/>
        <v>12037.94</v>
      </c>
      <c r="F13" s="139">
        <f t="shared" si="1"/>
        <v>0</v>
      </c>
      <c r="G13" s="118">
        <f t="shared" si="2"/>
        <v>0</v>
      </c>
      <c r="H13" s="119"/>
      <c r="I13" s="117">
        <f t="shared" si="3"/>
        <v>2329.134</v>
      </c>
      <c r="J13" s="118">
        <f t="shared" si="4"/>
        <v>78.454000000000008</v>
      </c>
      <c r="K13" s="119">
        <v>0.2</v>
      </c>
      <c r="L13" s="117">
        <f t="shared" si="5"/>
        <v>5822.835</v>
      </c>
      <c r="M13" s="118">
        <f t="shared" si="6"/>
        <v>196.13500000000002</v>
      </c>
      <c r="N13" s="119">
        <v>0.5</v>
      </c>
      <c r="O13" s="117">
        <f t="shared" si="7"/>
        <v>3493.701</v>
      </c>
      <c r="P13" s="118">
        <f t="shared" si="8"/>
        <v>117.68100000000001</v>
      </c>
      <c r="Q13" s="119">
        <v>0.3</v>
      </c>
      <c r="R13" s="118">
        <f t="shared" si="9"/>
        <v>12037.940000000002</v>
      </c>
      <c r="S13" s="119">
        <f t="shared" si="10"/>
        <v>1</v>
      </c>
    </row>
    <row r="14" spans="1:19" ht="16.2" thickBot="1" x14ac:dyDescent="0.35">
      <c r="A14" s="115">
        <v>8</v>
      </c>
      <c r="B14" s="116" t="str">
        <f>PO!B49</f>
        <v>INSTALAÇÕES ELÉTRICAS</v>
      </c>
      <c r="C14" s="142">
        <f>PO!N49</f>
        <v>2951.01</v>
      </c>
      <c r="D14" s="142">
        <f>PO!O49</f>
        <v>548.65</v>
      </c>
      <c r="E14" s="137">
        <f t="shared" si="0"/>
        <v>3499.6600000000003</v>
      </c>
      <c r="F14" s="139">
        <f t="shared" si="1"/>
        <v>295.10100000000006</v>
      </c>
      <c r="G14" s="118">
        <f t="shared" si="2"/>
        <v>54.865000000000002</v>
      </c>
      <c r="H14" s="119">
        <v>0.1</v>
      </c>
      <c r="I14" s="117">
        <f t="shared" si="3"/>
        <v>590.20200000000011</v>
      </c>
      <c r="J14" s="118">
        <f t="shared" si="4"/>
        <v>109.73</v>
      </c>
      <c r="K14" s="119">
        <v>0.2</v>
      </c>
      <c r="L14" s="117">
        <f t="shared" si="5"/>
        <v>885.303</v>
      </c>
      <c r="M14" s="118">
        <f t="shared" si="6"/>
        <v>164.595</v>
      </c>
      <c r="N14" s="119">
        <v>0.3</v>
      </c>
      <c r="O14" s="117">
        <f t="shared" si="7"/>
        <v>1180.4040000000002</v>
      </c>
      <c r="P14" s="118">
        <f t="shared" si="8"/>
        <v>219.46</v>
      </c>
      <c r="Q14" s="119">
        <v>0.4</v>
      </c>
      <c r="R14" s="118">
        <f t="shared" si="9"/>
        <v>3499.66</v>
      </c>
      <c r="S14" s="119">
        <f t="shared" si="10"/>
        <v>0.99999999999999989</v>
      </c>
    </row>
    <row r="15" spans="1:19" ht="16.2" thickBot="1" x14ac:dyDescent="0.35">
      <c r="A15" s="115">
        <v>9</v>
      </c>
      <c r="B15" s="121" t="str">
        <f>PO!B63</f>
        <v>INSTALAÇÕES HIDROSANITÁRIAS</v>
      </c>
      <c r="C15" s="142">
        <f>PO!N63</f>
        <v>13404.750000000002</v>
      </c>
      <c r="D15" s="142">
        <f>PO!O63</f>
        <v>4252.1100000000006</v>
      </c>
      <c r="E15" s="137">
        <f t="shared" si="0"/>
        <v>17656.86</v>
      </c>
      <c r="F15" s="139">
        <f t="shared" si="1"/>
        <v>2680.9500000000007</v>
      </c>
      <c r="G15" s="118">
        <f t="shared" si="2"/>
        <v>850.42200000000014</v>
      </c>
      <c r="H15" s="119">
        <v>0.2</v>
      </c>
      <c r="I15" s="117">
        <f t="shared" si="3"/>
        <v>2680.9500000000007</v>
      </c>
      <c r="J15" s="118">
        <f t="shared" si="4"/>
        <v>850.42200000000014</v>
      </c>
      <c r="K15" s="119">
        <v>0.2</v>
      </c>
      <c r="L15" s="117">
        <f t="shared" si="5"/>
        <v>4021.4250000000002</v>
      </c>
      <c r="M15" s="118">
        <f t="shared" si="6"/>
        <v>1275.633</v>
      </c>
      <c r="N15" s="119">
        <v>0.3</v>
      </c>
      <c r="O15" s="117">
        <f t="shared" si="7"/>
        <v>4021.4250000000002</v>
      </c>
      <c r="P15" s="118">
        <f t="shared" si="8"/>
        <v>1275.633</v>
      </c>
      <c r="Q15" s="119">
        <v>0.3</v>
      </c>
      <c r="R15" s="118">
        <f t="shared" si="9"/>
        <v>17656.860000000004</v>
      </c>
      <c r="S15" s="119">
        <f t="shared" si="10"/>
        <v>1</v>
      </c>
    </row>
    <row r="16" spans="1:19" ht="16.2" thickBot="1" x14ac:dyDescent="0.35">
      <c r="A16" s="120">
        <v>10</v>
      </c>
      <c r="B16" s="116" t="str">
        <f>PO!B78</f>
        <v>PINTURA</v>
      </c>
      <c r="C16" s="142">
        <f>PO!N78</f>
        <v>1806.29</v>
      </c>
      <c r="D16" s="142">
        <f>PO!O78</f>
        <v>296.73</v>
      </c>
      <c r="E16" s="137">
        <f t="shared" si="0"/>
        <v>2103.02</v>
      </c>
      <c r="F16" s="139">
        <f t="shared" si="1"/>
        <v>0</v>
      </c>
      <c r="G16" s="118">
        <f t="shared" si="2"/>
        <v>0</v>
      </c>
      <c r="H16" s="119"/>
      <c r="I16" s="117">
        <f t="shared" si="3"/>
        <v>0</v>
      </c>
      <c r="J16" s="118">
        <f t="shared" si="4"/>
        <v>0</v>
      </c>
      <c r="K16" s="119"/>
      <c r="L16" s="117">
        <f t="shared" si="5"/>
        <v>541.88699999999994</v>
      </c>
      <c r="M16" s="118">
        <f t="shared" si="6"/>
        <v>89.019000000000005</v>
      </c>
      <c r="N16" s="119">
        <v>0.3</v>
      </c>
      <c r="O16" s="117">
        <f t="shared" si="7"/>
        <v>1264.4029999999998</v>
      </c>
      <c r="P16" s="118">
        <f t="shared" si="8"/>
        <v>207.71100000000001</v>
      </c>
      <c r="Q16" s="119">
        <v>0.7</v>
      </c>
      <c r="R16" s="118">
        <f t="shared" si="9"/>
        <v>2103.0199999999995</v>
      </c>
      <c r="S16" s="119">
        <f t="shared" si="10"/>
        <v>1</v>
      </c>
    </row>
    <row r="17" spans="1:19" ht="16.2" thickBot="1" x14ac:dyDescent="0.35">
      <c r="A17" s="120">
        <v>11</v>
      </c>
      <c r="B17" s="121" t="str">
        <f>PO!B82</f>
        <v>FORROS</v>
      </c>
      <c r="C17" s="142">
        <f>PO!N82</f>
        <v>1164.67</v>
      </c>
      <c r="D17" s="142">
        <f>PO!O82</f>
        <v>1038.98</v>
      </c>
      <c r="E17" s="137">
        <f t="shared" si="0"/>
        <v>2203.65</v>
      </c>
      <c r="F17" s="139">
        <f t="shared" si="1"/>
        <v>0</v>
      </c>
      <c r="G17" s="118">
        <f t="shared" si="2"/>
        <v>0</v>
      </c>
      <c r="H17" s="119"/>
      <c r="I17" s="117">
        <f t="shared" si="3"/>
        <v>232.93400000000003</v>
      </c>
      <c r="J17" s="118">
        <f t="shared" si="4"/>
        <v>207.79600000000002</v>
      </c>
      <c r="K17" s="119">
        <v>0.2</v>
      </c>
      <c r="L17" s="117">
        <f t="shared" si="5"/>
        <v>232.93400000000003</v>
      </c>
      <c r="M17" s="118">
        <f t="shared" si="6"/>
        <v>207.79600000000002</v>
      </c>
      <c r="N17" s="119">
        <v>0.2</v>
      </c>
      <c r="O17" s="117">
        <f t="shared" si="7"/>
        <v>698.80200000000002</v>
      </c>
      <c r="P17" s="118">
        <f t="shared" si="8"/>
        <v>623.38800000000003</v>
      </c>
      <c r="Q17" s="119">
        <v>0.6</v>
      </c>
      <c r="R17" s="118">
        <f t="shared" si="9"/>
        <v>2203.65</v>
      </c>
      <c r="S17" s="119">
        <f t="shared" si="10"/>
        <v>1</v>
      </c>
    </row>
    <row r="18" spans="1:19" ht="16.2" thickBot="1" x14ac:dyDescent="0.35">
      <c r="A18" s="115">
        <v>12</v>
      </c>
      <c r="B18" s="116" t="str">
        <f>PO!B86</f>
        <v>EQUIPAMENTOS SANITÁRIOS</v>
      </c>
      <c r="C18" s="142">
        <f>PO!N86</f>
        <v>6497.8099999999995</v>
      </c>
      <c r="D18" s="142">
        <f>PO!O86</f>
        <v>483.22</v>
      </c>
      <c r="E18" s="137">
        <f t="shared" si="0"/>
        <v>6981.03</v>
      </c>
      <c r="F18" s="139">
        <f t="shared" si="1"/>
        <v>0</v>
      </c>
      <c r="G18" s="118">
        <f t="shared" si="2"/>
        <v>0</v>
      </c>
      <c r="H18" s="119"/>
      <c r="I18" s="117">
        <f t="shared" si="3"/>
        <v>0</v>
      </c>
      <c r="J18" s="118">
        <f t="shared" si="4"/>
        <v>0</v>
      </c>
      <c r="K18" s="119"/>
      <c r="L18" s="117">
        <f t="shared" si="5"/>
        <v>0</v>
      </c>
      <c r="M18" s="118">
        <f t="shared" si="6"/>
        <v>0</v>
      </c>
      <c r="N18" s="119"/>
      <c r="O18" s="117">
        <f t="shared" si="7"/>
        <v>6497.8099999999995</v>
      </c>
      <c r="P18" s="118">
        <f t="shared" si="8"/>
        <v>483.22</v>
      </c>
      <c r="Q18" s="119">
        <v>1</v>
      </c>
      <c r="R18" s="118">
        <f t="shared" si="9"/>
        <v>6981.03</v>
      </c>
      <c r="S18" s="119">
        <f t="shared" si="10"/>
        <v>1</v>
      </c>
    </row>
    <row r="19" spans="1:19" ht="16.2" thickBot="1" x14ac:dyDescent="0.35">
      <c r="A19" s="115">
        <v>13</v>
      </c>
      <c r="B19" s="121" t="str">
        <f>PO!B94</f>
        <v>COBERTURAS E PROTEÇÕES</v>
      </c>
      <c r="C19" s="142">
        <f>PO!N94</f>
        <v>7922.75</v>
      </c>
      <c r="D19" s="142">
        <f>PO!O94</f>
        <v>674.63</v>
      </c>
      <c r="E19" s="137">
        <f t="shared" si="0"/>
        <v>8597.3799999999992</v>
      </c>
      <c r="F19" s="139">
        <f t="shared" si="1"/>
        <v>0</v>
      </c>
      <c r="G19" s="118">
        <f t="shared" si="2"/>
        <v>0</v>
      </c>
      <c r="H19" s="119"/>
      <c r="I19" s="117">
        <f t="shared" si="3"/>
        <v>2376.8249999999998</v>
      </c>
      <c r="J19" s="118">
        <f t="shared" si="4"/>
        <v>202.38899999999998</v>
      </c>
      <c r="K19" s="119">
        <v>0.3</v>
      </c>
      <c r="L19" s="117">
        <f t="shared" si="5"/>
        <v>2376.8249999999998</v>
      </c>
      <c r="M19" s="118">
        <f t="shared" si="6"/>
        <v>202.38899999999998</v>
      </c>
      <c r="N19" s="119">
        <v>0.3</v>
      </c>
      <c r="O19" s="117">
        <f t="shared" si="7"/>
        <v>3169.1000000000004</v>
      </c>
      <c r="P19" s="118">
        <f t="shared" si="8"/>
        <v>269.85200000000003</v>
      </c>
      <c r="Q19" s="119">
        <v>0.4</v>
      </c>
      <c r="R19" s="118">
        <f t="shared" si="9"/>
        <v>8597.380000000001</v>
      </c>
      <c r="S19" s="119">
        <f t="shared" si="10"/>
        <v>1</v>
      </c>
    </row>
    <row r="20" spans="1:19" ht="16.2" thickBot="1" x14ac:dyDescent="0.35">
      <c r="A20" s="120">
        <v>14</v>
      </c>
      <c r="B20" s="116" t="str">
        <f>PO!B100</f>
        <v>SERVIÇOS COMPLEMENTARES E FINAIS</v>
      </c>
      <c r="C20" s="142">
        <f>PO!N100</f>
        <v>107.15</v>
      </c>
      <c r="D20" s="142">
        <f>PO!O100</f>
        <v>248.67</v>
      </c>
      <c r="E20" s="137">
        <f t="shared" si="0"/>
        <v>355.82</v>
      </c>
      <c r="F20" s="139">
        <f t="shared" si="1"/>
        <v>0</v>
      </c>
      <c r="G20" s="118">
        <f t="shared" si="2"/>
        <v>0</v>
      </c>
      <c r="H20" s="119"/>
      <c r="I20" s="117">
        <f t="shared" si="3"/>
        <v>0</v>
      </c>
      <c r="J20" s="118">
        <f t="shared" si="4"/>
        <v>0</v>
      </c>
      <c r="K20" s="119"/>
      <c r="L20" s="117">
        <f t="shared" si="5"/>
        <v>0</v>
      </c>
      <c r="M20" s="118">
        <f t="shared" si="6"/>
        <v>0</v>
      </c>
      <c r="N20" s="119"/>
      <c r="O20" s="117">
        <f t="shared" si="7"/>
        <v>107.15</v>
      </c>
      <c r="P20" s="118">
        <f t="shared" si="8"/>
        <v>248.67</v>
      </c>
      <c r="Q20" s="119">
        <v>1</v>
      </c>
      <c r="R20" s="144">
        <f t="shared" si="9"/>
        <v>355.82</v>
      </c>
      <c r="S20" s="119">
        <f t="shared" si="10"/>
        <v>1</v>
      </c>
    </row>
    <row r="21" spans="1:19" ht="15.6" x14ac:dyDescent="0.3">
      <c r="A21" s="122"/>
      <c r="B21" s="123" t="s">
        <v>153</v>
      </c>
      <c r="C21" s="138"/>
      <c r="D21" s="140"/>
      <c r="E21" s="141"/>
      <c r="F21" s="124">
        <f>ROUND((SUM(F7:F20)),2)</f>
        <v>41110.85</v>
      </c>
      <c r="G21" s="124">
        <f>ROUND((SUM(G7:G20)),2)</f>
        <v>6650.02</v>
      </c>
      <c r="H21" s="205">
        <f>F22/$E$6</f>
        <v>0.3528867919007751</v>
      </c>
      <c r="I21" s="124">
        <f>SUM(I7:I20)</f>
        <v>24885.173000000006</v>
      </c>
      <c r="J21" s="124">
        <f>SUM(J7:J20)</f>
        <v>5500.8930000000009</v>
      </c>
      <c r="K21" s="205">
        <f>I22/$E$6</f>
        <v>0.22451104347078235</v>
      </c>
      <c r="L21" s="124">
        <f>SUM(L7:L20)</f>
        <v>23982.888999999999</v>
      </c>
      <c r="M21" s="124">
        <f>SUM(M7:M20)</f>
        <v>5457.7330000000011</v>
      </c>
      <c r="N21" s="205">
        <f>L22/$E$6</f>
        <v>0.217525475213701</v>
      </c>
      <c r="O21" s="124">
        <f>SUM(O7:O20)</f>
        <v>23102.722999999998</v>
      </c>
      <c r="P21" s="124">
        <f>SUM(P7:P20)</f>
        <v>4653.0430000000006</v>
      </c>
      <c r="Q21" s="205">
        <f>O22/$E$6</f>
        <v>0.20507676330091507</v>
      </c>
      <c r="R21" s="201">
        <f>SUM(R7:R20)</f>
        <v>135343.32</v>
      </c>
      <c r="S21" s="202"/>
    </row>
    <row r="22" spans="1:19" ht="16.2" thickBot="1" x14ac:dyDescent="0.35">
      <c r="A22" s="125"/>
      <c r="B22" s="126" t="s">
        <v>154</v>
      </c>
      <c r="C22" s="127"/>
      <c r="D22" s="128"/>
      <c r="E22" s="129"/>
      <c r="F22" s="199">
        <f>ROUND(F21+G21,2)</f>
        <v>47760.87</v>
      </c>
      <c r="G22" s="200"/>
      <c r="H22" s="206"/>
      <c r="I22" s="199">
        <f>ROUND(I21+J21,2)</f>
        <v>30386.07</v>
      </c>
      <c r="J22" s="200"/>
      <c r="K22" s="206"/>
      <c r="L22" s="199">
        <f>ROUND(L21+M21,2)</f>
        <v>29440.62</v>
      </c>
      <c r="M22" s="200"/>
      <c r="N22" s="206"/>
      <c r="O22" s="199">
        <f>ROUND(O21+P21,2)</f>
        <v>27755.77</v>
      </c>
      <c r="P22" s="200"/>
      <c r="Q22" s="206"/>
      <c r="R22" s="203"/>
      <c r="S22" s="204"/>
    </row>
  </sheetData>
  <mergeCells count="16">
    <mergeCell ref="R5:S5"/>
    <mergeCell ref="F22:G22"/>
    <mergeCell ref="I22:J22"/>
    <mergeCell ref="L22:M22"/>
    <mergeCell ref="O22:P22"/>
    <mergeCell ref="R21:S22"/>
    <mergeCell ref="H21:H22"/>
    <mergeCell ref="K21:K22"/>
    <mergeCell ref="N21:N22"/>
    <mergeCell ref="Q21:Q22"/>
    <mergeCell ref="I3:K3"/>
    <mergeCell ref="O3:Q3"/>
    <mergeCell ref="F5:H5"/>
    <mergeCell ref="I5:K5"/>
    <mergeCell ref="L5:N5"/>
    <mergeCell ref="O5:Q5"/>
  </mergeCells>
  <pageMargins left="0.25" right="0.25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PO</vt:lpstr>
      <vt:lpstr>CRONOGRAMA</vt:lpstr>
      <vt:lpstr>PO!Print_Titles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Ulisses Bergamo Godois</cp:lastModifiedBy>
  <cp:lastPrinted>2021-07-23T19:58:31Z</cp:lastPrinted>
  <dcterms:created xsi:type="dcterms:W3CDTF">2015-08-21T00:15:18Z</dcterms:created>
  <dcterms:modified xsi:type="dcterms:W3CDTF">2021-07-27T08:40:04Z</dcterms:modified>
</cp:coreProperties>
</file>