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ITAIS DE LICITACOES\EDITAIS DE LICITAÇÃO - ANO 2021\EDITAIS DE PREGÃO 2021\EDITAIS DE PREGÃO PRESENCIAL 2021\PP 23_2021 - Coleta Volumosos e EcoPonto\"/>
    </mc:Choice>
  </mc:AlternateContent>
  <xr:revisionPtr revIDLastSave="0" documentId="8_{728CEB58-BF61-43E6-9A44-6A431F08D412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1. Coleta Volumosos " sheetId="12" r:id="rId1"/>
    <sheet name="2. Coleta Res Veg" sheetId="1" r:id="rId2"/>
    <sheet name="3. Eco Ponto" sheetId="15" r:id="rId3"/>
    <sheet name="4. Resumo" sheetId="2" r:id="rId4"/>
    <sheet name="5.Encargos Sociais" sheetId="3" r:id="rId5"/>
    <sheet name="6.CAGED" sheetId="4" r:id="rId6"/>
    <sheet name="7.BDI" sheetId="5" r:id="rId7"/>
    <sheet name="8.Ton" sheetId="6" r:id="rId8"/>
    <sheet name="9 Horarios" sheetId="14" r:id="rId9"/>
    <sheet name="10. Roteiros" sheetId="16" r:id="rId10"/>
    <sheet name="11. Depreciação" sheetId="10" r:id="rId11"/>
    <sheet name="12.Remuneração de capital" sheetId="11" r:id="rId12"/>
  </sheets>
  <definedNames>
    <definedName name="AbaDeprec">'11. Depreciação'!$A$1</definedName>
    <definedName name="AbaRemun" localSheetId="3">#REF!</definedName>
    <definedName name="AbaRemun" localSheetId="7">#REF!</definedName>
    <definedName name="AbaRemun">'12.Remuneração de capital'!$A$1</definedName>
    <definedName name="_xlnm.Print_Area" localSheetId="0">'1. Coleta Volumosos '!$A$2:$F$319</definedName>
    <definedName name="_xlnm.Print_Area" localSheetId="9">'10. Roteiros'!$B$1:$M$39</definedName>
    <definedName name="_xlnm.Print_Area" localSheetId="1">'2. Coleta Res Veg'!$A$2:$F$319</definedName>
    <definedName name="_xlnm.Print_Area" localSheetId="2">'3. Eco Ponto'!$A$1:$F$144</definedName>
    <definedName name="_xlnm.Print_Area" localSheetId="4">'5.Encargos Sociais'!$A$1:$C$40</definedName>
    <definedName name="_xlnm.Print_Titles" localSheetId="0">'1. Coleta Volumosos '!$2:$9</definedName>
    <definedName name="_xlnm.Print_Titles" localSheetId="1">'2. Coleta Res Veg'!$2:$9</definedName>
    <definedName name="_xlnm.Print_Titles" localSheetId="2">'3. Eco Ponto'!$1:$8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8" i="12" l="1"/>
  <c r="E88" i="1"/>
  <c r="E30" i="16"/>
  <c r="K16" i="16" s="1"/>
  <c r="K19" i="16" s="1"/>
  <c r="L37" i="16" s="1"/>
  <c r="L39" i="16" s="1"/>
  <c r="B240" i="12" s="1"/>
  <c r="E16" i="16"/>
  <c r="K7" i="16" s="1"/>
  <c r="K10" i="16" s="1"/>
  <c r="L29" i="16" s="1"/>
  <c r="L31" i="16" s="1"/>
  <c r="B240" i="1" s="1"/>
  <c r="C281" i="1"/>
  <c r="C281" i="12"/>
  <c r="E119" i="15"/>
  <c r="C118" i="15"/>
  <c r="E118" i="15" s="1"/>
  <c r="E117" i="15"/>
  <c r="E116" i="15"/>
  <c r="E106" i="15"/>
  <c r="D105" i="15"/>
  <c r="C105" i="15"/>
  <c r="D104" i="15"/>
  <c r="C104" i="15"/>
  <c r="D103" i="15"/>
  <c r="C103" i="15"/>
  <c r="D102" i="15"/>
  <c r="C102" i="15"/>
  <c r="E95" i="15"/>
  <c r="E94" i="15"/>
  <c r="E93" i="15"/>
  <c r="E92" i="15"/>
  <c r="E91" i="15"/>
  <c r="E90" i="15"/>
  <c r="E89" i="15"/>
  <c r="E88" i="15"/>
  <c r="E87" i="15"/>
  <c r="E86" i="15"/>
  <c r="E85" i="15"/>
  <c r="E74" i="15"/>
  <c r="E69" i="15"/>
  <c r="E68" i="15"/>
  <c r="D67" i="15"/>
  <c r="E67" i="15" s="1"/>
  <c r="A67" i="15"/>
  <c r="D48" i="15"/>
  <c r="E48" i="15" s="1"/>
  <c r="E47" i="15"/>
  <c r="D47" i="15"/>
  <c r="E46" i="15"/>
  <c r="E37" i="15"/>
  <c r="A37" i="15"/>
  <c r="E34" i="15"/>
  <c r="C62" i="15" s="1"/>
  <c r="E30" i="15"/>
  <c r="A30" i="15"/>
  <c r="A24" i="15"/>
  <c r="A23" i="15"/>
  <c r="A22" i="15"/>
  <c r="A21" i="15"/>
  <c r="A20" i="15"/>
  <c r="A19" i="15"/>
  <c r="A18" i="15"/>
  <c r="A17" i="15"/>
  <c r="E102" i="15" l="1"/>
  <c r="D49" i="15"/>
  <c r="E49" i="15" s="1"/>
  <c r="E104" i="15"/>
  <c r="F70" i="15"/>
  <c r="D96" i="15"/>
  <c r="E96" i="15" s="1"/>
  <c r="E103" i="15"/>
  <c r="E105" i="15"/>
  <c r="F120" i="15"/>
  <c r="F122" i="15" s="1"/>
  <c r="E23" i="15" s="1"/>
  <c r="E20" i="15"/>
  <c r="D50" i="15"/>
  <c r="E50" i="15" s="1"/>
  <c r="E51" i="15" s="1"/>
  <c r="D62" i="15" s="1"/>
  <c r="E62" i="15" s="1"/>
  <c r="F63" i="15" s="1"/>
  <c r="E19" i="15" s="1"/>
  <c r="D107" i="15" l="1"/>
  <c r="E107" i="15" s="1"/>
  <c r="D52" i="15"/>
  <c r="I8" i="14" l="1"/>
  <c r="I7" i="14"/>
  <c r="I5" i="14"/>
  <c r="I6" i="14"/>
  <c r="D8" i="6"/>
  <c r="D184" i="12" l="1"/>
  <c r="E184" i="12" s="1"/>
  <c r="E170" i="12"/>
  <c r="C132" i="12"/>
  <c r="D184" i="1"/>
  <c r="E184" i="1" s="1"/>
  <c r="E170" i="1"/>
  <c r="C132" i="1"/>
  <c r="K7" i="14" l="1"/>
  <c r="K8" i="14" s="1"/>
  <c r="O5" i="14"/>
  <c r="K5" i="14"/>
  <c r="G39" i="14"/>
  <c r="G42" i="14" s="1"/>
  <c r="G44" i="14" s="1"/>
  <c r="G46" i="14" s="1"/>
  <c r="B40" i="15" s="1"/>
  <c r="G27" i="14"/>
  <c r="G30" i="14" s="1"/>
  <c r="G32" i="14" s="1"/>
  <c r="G34" i="14" s="1"/>
  <c r="G15" i="14"/>
  <c r="G18" i="14" s="1"/>
  <c r="G20" i="14" s="1"/>
  <c r="G22" i="14" s="1"/>
  <c r="N13" i="14"/>
  <c r="M13" i="14"/>
  <c r="L13" i="14"/>
  <c r="O7" i="14"/>
  <c r="D313" i="12"/>
  <c r="D294" i="12"/>
  <c r="E294" i="12" s="1"/>
  <c r="E293" i="12"/>
  <c r="E291" i="12"/>
  <c r="D292" i="12" s="1"/>
  <c r="E292" i="12" s="1"/>
  <c r="E283" i="12"/>
  <c r="E282" i="12"/>
  <c r="E281" i="12"/>
  <c r="E280" i="12"/>
  <c r="E279" i="12"/>
  <c r="E278" i="12"/>
  <c r="C268" i="12"/>
  <c r="E268" i="12" s="1"/>
  <c r="E266" i="12"/>
  <c r="E260" i="12"/>
  <c r="D254" i="12"/>
  <c r="E254" i="12" s="1"/>
  <c r="D252" i="12"/>
  <c r="D250" i="12"/>
  <c r="D248" i="12"/>
  <c r="D246" i="12"/>
  <c r="D244" i="12"/>
  <c r="C234" i="12"/>
  <c r="E234" i="12" s="1"/>
  <c r="C233" i="12"/>
  <c r="E233" i="12" s="1"/>
  <c r="C232" i="12"/>
  <c r="C220" i="12"/>
  <c r="D219" i="12"/>
  <c r="D214" i="12"/>
  <c r="E214" i="12" s="1"/>
  <c r="C207" i="12"/>
  <c r="C206" i="12"/>
  <c r="C203" i="12"/>
  <c r="C219" i="12" s="1"/>
  <c r="E219" i="12" s="1"/>
  <c r="C202" i="12"/>
  <c r="C201" i="12"/>
  <c r="E198" i="12"/>
  <c r="E186" i="12"/>
  <c r="D186" i="12"/>
  <c r="D185" i="12"/>
  <c r="C185" i="12"/>
  <c r="E185" i="12" s="1"/>
  <c r="D183" i="12"/>
  <c r="E183" i="12" s="1"/>
  <c r="C183" i="12"/>
  <c r="D182" i="12"/>
  <c r="C182" i="12"/>
  <c r="D181" i="12"/>
  <c r="C181" i="12"/>
  <c r="D180" i="12"/>
  <c r="C180" i="12"/>
  <c r="E180" i="12" s="1"/>
  <c r="D179" i="12"/>
  <c r="C179" i="12"/>
  <c r="E172" i="12"/>
  <c r="E171" i="12"/>
  <c r="E169" i="12"/>
  <c r="E168" i="12"/>
  <c r="E167" i="12"/>
  <c r="E166" i="12"/>
  <c r="E165" i="12"/>
  <c r="E164" i="12"/>
  <c r="E163" i="12"/>
  <c r="E162" i="12"/>
  <c r="E161" i="12"/>
  <c r="E145" i="12"/>
  <c r="D145" i="12"/>
  <c r="D139" i="12"/>
  <c r="E139" i="12" s="1"/>
  <c r="D138" i="12"/>
  <c r="A138" i="12"/>
  <c r="A145" i="12" s="1"/>
  <c r="D137" i="12"/>
  <c r="A137" i="12"/>
  <c r="A150" i="12" s="1"/>
  <c r="C131" i="12"/>
  <c r="C120" i="12"/>
  <c r="D117" i="12"/>
  <c r="C117" i="12"/>
  <c r="E117" i="12" s="1"/>
  <c r="D115" i="12"/>
  <c r="E115" i="12" s="1"/>
  <c r="D114" i="12"/>
  <c r="C114" i="12"/>
  <c r="D112" i="12"/>
  <c r="E112" i="12" s="1"/>
  <c r="D111" i="12"/>
  <c r="E111" i="12" s="1"/>
  <c r="C111" i="12"/>
  <c r="D109" i="12"/>
  <c r="E108" i="12"/>
  <c r="D98" i="12"/>
  <c r="E98" i="12" s="1"/>
  <c r="D95" i="12"/>
  <c r="E95" i="12" s="1"/>
  <c r="D94" i="12"/>
  <c r="E94" i="12" s="1"/>
  <c r="D96" i="12" s="1"/>
  <c r="E96" i="12" s="1"/>
  <c r="E92" i="12"/>
  <c r="D81" i="12"/>
  <c r="C81" i="12"/>
  <c r="D79" i="12"/>
  <c r="E79" i="12" s="1"/>
  <c r="D78" i="12"/>
  <c r="C78" i="12"/>
  <c r="D76" i="12"/>
  <c r="E76" i="12" s="1"/>
  <c r="D75" i="12"/>
  <c r="E75" i="12" s="1"/>
  <c r="C75" i="12"/>
  <c r="E73" i="12"/>
  <c r="D62" i="12"/>
  <c r="E62" i="12" s="1"/>
  <c r="D61" i="12"/>
  <c r="E61" i="12" s="1"/>
  <c r="E60" i="12"/>
  <c r="E51" i="12"/>
  <c r="A51" i="12"/>
  <c r="C138" i="12"/>
  <c r="E138" i="12" s="1"/>
  <c r="E46" i="12"/>
  <c r="C187" i="12" s="1"/>
  <c r="A46" i="12"/>
  <c r="E45" i="12"/>
  <c r="A45" i="12"/>
  <c r="E44" i="12"/>
  <c r="C137" i="12" s="1"/>
  <c r="A44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D7" i="6"/>
  <c r="D9" i="6" s="1"/>
  <c r="E281" i="1"/>
  <c r="D145" i="1"/>
  <c r="D139" i="1"/>
  <c r="D138" i="1"/>
  <c r="D137" i="1"/>
  <c r="D98" i="1"/>
  <c r="E114" i="12" l="1"/>
  <c r="D118" i="12" s="1"/>
  <c r="E118" i="12" s="1"/>
  <c r="D120" i="12" s="1"/>
  <c r="E120" i="12" s="1"/>
  <c r="E121" i="12" s="1"/>
  <c r="D173" i="12"/>
  <c r="E179" i="12"/>
  <c r="E137" i="12"/>
  <c r="F140" i="12" s="1"/>
  <c r="E24" i="12" s="1"/>
  <c r="B54" i="12"/>
  <c r="E69" i="12" s="1"/>
  <c r="E103" i="12"/>
  <c r="E210" i="12" s="1"/>
  <c r="E228" i="12" s="1"/>
  <c r="E236" i="12" s="1"/>
  <c r="B54" i="1"/>
  <c r="E103" i="1"/>
  <c r="E78" i="12"/>
  <c r="D82" i="12" s="1"/>
  <c r="E82" i="12" s="1"/>
  <c r="D83" i="12" s="1"/>
  <c r="E83" i="12" s="1"/>
  <c r="E181" i="12"/>
  <c r="E55" i="15"/>
  <c r="E76" i="15" s="1"/>
  <c r="E97" i="15"/>
  <c r="F97" i="15" s="1"/>
  <c r="E182" i="12"/>
  <c r="D269" i="12"/>
  <c r="E269" i="12" s="1"/>
  <c r="D270" i="12" s="1"/>
  <c r="E81" i="12"/>
  <c r="C216" i="12"/>
  <c r="D232" i="12" s="1"/>
  <c r="C270" i="12"/>
  <c r="E270" i="12" s="1"/>
  <c r="F271" i="12" s="1"/>
  <c r="E35" i="12" s="1"/>
  <c r="F284" i="12"/>
  <c r="F286" i="12" s="1"/>
  <c r="E36" i="12" s="1"/>
  <c r="D63" i="12"/>
  <c r="E63" i="12" s="1"/>
  <c r="D64" i="12" s="1"/>
  <c r="E64" i="12" s="1"/>
  <c r="E65" i="12" s="1"/>
  <c r="D131" i="12" s="1"/>
  <c r="E131" i="12" s="1"/>
  <c r="E295" i="12"/>
  <c r="F295" i="12" s="1"/>
  <c r="F297" i="12" s="1"/>
  <c r="E37" i="12" s="1"/>
  <c r="C173" i="12"/>
  <c r="E173" i="12" s="1"/>
  <c r="E188" i="12"/>
  <c r="C144" i="12"/>
  <c r="E144" i="12" s="1"/>
  <c r="C150" i="12"/>
  <c r="E150" i="12" s="1"/>
  <c r="E48" i="12"/>
  <c r="E99" i="12"/>
  <c r="D132" i="12" s="1"/>
  <c r="E132" i="12" s="1"/>
  <c r="E125" i="12"/>
  <c r="A144" i="12"/>
  <c r="D201" i="12"/>
  <c r="E201" i="12" s="1"/>
  <c r="D202" i="12" s="1"/>
  <c r="E202" i="12" s="1"/>
  <c r="E203" i="12"/>
  <c r="C244" i="12"/>
  <c r="C16" i="5"/>
  <c r="C21" i="5" s="1"/>
  <c r="C129" i="15" s="1"/>
  <c r="F14" i="5"/>
  <c r="E14" i="5"/>
  <c r="D14" i="5"/>
  <c r="C29" i="4"/>
  <c r="C30" i="4" s="1"/>
  <c r="C27" i="4"/>
  <c r="C36" i="3"/>
  <c r="C33" i="3"/>
  <c r="C21" i="3"/>
  <c r="C18" i="3"/>
  <c r="A16" i="2"/>
  <c r="D313" i="1"/>
  <c r="E293" i="1"/>
  <c r="D294" i="1" s="1"/>
  <c r="E294" i="1" s="1"/>
  <c r="D292" i="1"/>
  <c r="E292" i="1" s="1"/>
  <c r="E291" i="1"/>
  <c r="E283" i="1"/>
  <c r="E282" i="1"/>
  <c r="E280" i="1"/>
  <c r="E279" i="1"/>
  <c r="E278" i="1"/>
  <c r="C268" i="1"/>
  <c r="E268" i="1" s="1"/>
  <c r="E266" i="1"/>
  <c r="E260" i="1"/>
  <c r="D254" i="1"/>
  <c r="D252" i="1"/>
  <c r="D250" i="1"/>
  <c r="D248" i="1"/>
  <c r="D246" i="1"/>
  <c r="D244" i="1"/>
  <c r="C234" i="1"/>
  <c r="E234" i="1" s="1"/>
  <c r="C233" i="1"/>
  <c r="E233" i="1" s="1"/>
  <c r="C232" i="1"/>
  <c r="C220" i="1"/>
  <c r="D219" i="1"/>
  <c r="D214" i="1"/>
  <c r="E214" i="1" s="1"/>
  <c r="C207" i="1"/>
  <c r="C206" i="1"/>
  <c r="C203" i="1"/>
  <c r="C219" i="1" s="1"/>
  <c r="C202" i="1"/>
  <c r="C201" i="1"/>
  <c r="E198" i="1"/>
  <c r="D186" i="1"/>
  <c r="E186" i="1" s="1"/>
  <c r="D185" i="1"/>
  <c r="C185" i="1"/>
  <c r="D183" i="1"/>
  <c r="C183" i="1"/>
  <c r="D182" i="1"/>
  <c r="C182" i="1"/>
  <c r="E182" i="1" s="1"/>
  <c r="D181" i="1"/>
  <c r="C181" i="1"/>
  <c r="D180" i="1"/>
  <c r="C180" i="1"/>
  <c r="E180" i="1" s="1"/>
  <c r="D179" i="1"/>
  <c r="C179" i="1"/>
  <c r="E172" i="1"/>
  <c r="E171" i="1"/>
  <c r="E169" i="1"/>
  <c r="E168" i="1"/>
  <c r="E167" i="1"/>
  <c r="E166" i="1"/>
  <c r="E165" i="1"/>
  <c r="E164" i="1"/>
  <c r="E163" i="1"/>
  <c r="E162" i="1"/>
  <c r="E161" i="1"/>
  <c r="E145" i="1"/>
  <c r="E139" i="1"/>
  <c r="A138" i="1"/>
  <c r="A145" i="1" s="1"/>
  <c r="A137" i="1"/>
  <c r="A150" i="1" s="1"/>
  <c r="C131" i="1"/>
  <c r="C120" i="1"/>
  <c r="D117" i="1"/>
  <c r="C117" i="1"/>
  <c r="D115" i="1"/>
  <c r="E115" i="1" s="1"/>
  <c r="D114" i="1"/>
  <c r="C114" i="1"/>
  <c r="E114" i="1" s="1"/>
  <c r="D112" i="1"/>
  <c r="E112" i="1" s="1"/>
  <c r="D111" i="1"/>
  <c r="E111" i="1" s="1"/>
  <c r="C111" i="1"/>
  <c r="D109" i="1"/>
  <c r="E108" i="1"/>
  <c r="E98" i="1"/>
  <c r="D95" i="1"/>
  <c r="E95" i="1" s="1"/>
  <c r="D94" i="1"/>
  <c r="E94" i="1" s="1"/>
  <c r="E92" i="1"/>
  <c r="D81" i="1"/>
  <c r="C81" i="1"/>
  <c r="D79" i="1"/>
  <c r="E79" i="1" s="1"/>
  <c r="D78" i="1"/>
  <c r="C78" i="1"/>
  <c r="E78" i="1" s="1"/>
  <c r="D76" i="1"/>
  <c r="E76" i="1" s="1"/>
  <c r="D75" i="1"/>
  <c r="E75" i="1" s="1"/>
  <c r="C75" i="1"/>
  <c r="E73" i="1"/>
  <c r="D62" i="1"/>
  <c r="E62" i="1" s="1"/>
  <c r="D61" i="1"/>
  <c r="E61" i="1" s="1"/>
  <c r="E60" i="1"/>
  <c r="E51" i="1"/>
  <c r="A51" i="1"/>
  <c r="E46" i="1"/>
  <c r="A46" i="1"/>
  <c r="E45" i="1"/>
  <c r="A45" i="1"/>
  <c r="E44" i="1"/>
  <c r="C173" i="1" s="1"/>
  <c r="A44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E152" i="12" l="1"/>
  <c r="F152" i="12" s="1"/>
  <c r="E26" i="12" s="1"/>
  <c r="E108" i="15"/>
  <c r="F108" i="15" s="1"/>
  <c r="F110" i="15" s="1"/>
  <c r="E22" i="15" s="1"/>
  <c r="F76" i="15"/>
  <c r="E21" i="15" s="1"/>
  <c r="F133" i="12"/>
  <c r="E23" i="12" s="1"/>
  <c r="C187" i="1"/>
  <c r="C138" i="1"/>
  <c r="E219" i="1"/>
  <c r="E174" i="12"/>
  <c r="F174" i="12" s="1"/>
  <c r="D187" i="12"/>
  <c r="E187" i="12" s="1"/>
  <c r="F188" i="12" s="1"/>
  <c r="E146" i="12"/>
  <c r="F146" i="12" s="1"/>
  <c r="E25" i="12" s="1"/>
  <c r="D269" i="1"/>
  <c r="E269" i="1" s="1"/>
  <c r="D270" i="1" s="1"/>
  <c r="E185" i="1"/>
  <c r="C217" i="12"/>
  <c r="D218" i="12" s="1"/>
  <c r="E218" i="12" s="1"/>
  <c r="E232" i="12"/>
  <c r="D235" i="12" s="1"/>
  <c r="E235" i="12" s="1"/>
  <c r="F236" i="12" s="1"/>
  <c r="E32" i="12" s="1"/>
  <c r="E84" i="12"/>
  <c r="D85" i="12" s="1"/>
  <c r="C304" i="1"/>
  <c r="C304" i="12"/>
  <c r="D122" i="12"/>
  <c r="D66" i="12"/>
  <c r="C221" i="12"/>
  <c r="D206" i="12"/>
  <c r="E206" i="12" s="1"/>
  <c r="D207" i="12" s="1"/>
  <c r="E207" i="12" s="1"/>
  <c r="E208" i="12" s="1"/>
  <c r="D209" i="12" s="1"/>
  <c r="E209" i="12" s="1"/>
  <c r="F210" i="12" s="1"/>
  <c r="C261" i="12"/>
  <c r="E261" i="12" s="1"/>
  <c r="F262" i="12" s="1"/>
  <c r="E34" i="12" s="1"/>
  <c r="C252" i="12"/>
  <c r="E252" i="12" s="1"/>
  <c r="C248" i="12"/>
  <c r="E248" i="12" s="1"/>
  <c r="E244" i="12"/>
  <c r="C250" i="12"/>
  <c r="E250" i="12" s="1"/>
  <c r="C246" i="12"/>
  <c r="E246" i="12" s="1"/>
  <c r="D100" i="12"/>
  <c r="E138" i="1"/>
  <c r="F284" i="1"/>
  <c r="F286" i="1" s="1"/>
  <c r="E36" i="1" s="1"/>
  <c r="E117" i="1"/>
  <c r="D118" i="1" s="1"/>
  <c r="E118" i="1" s="1"/>
  <c r="E254" i="1"/>
  <c r="C216" i="1"/>
  <c r="D232" i="1" s="1"/>
  <c r="E232" i="1" s="1"/>
  <c r="D235" i="1" s="1"/>
  <c r="E235" i="1" s="1"/>
  <c r="D173" i="1"/>
  <c r="E173" i="1" s="1"/>
  <c r="E179" i="1"/>
  <c r="E181" i="1"/>
  <c r="E183" i="1"/>
  <c r="D96" i="1"/>
  <c r="E96" i="1" s="1"/>
  <c r="E99" i="1" s="1"/>
  <c r="D132" i="1" s="1"/>
  <c r="E132" i="1" s="1"/>
  <c r="D82" i="1"/>
  <c r="E82" i="1" s="1"/>
  <c r="D83" i="1" s="1"/>
  <c r="E83" i="1" s="1"/>
  <c r="E84" i="1" s="1"/>
  <c r="E81" i="1"/>
  <c r="E152" i="1"/>
  <c r="D63" i="1"/>
  <c r="E63" i="1" s="1"/>
  <c r="E48" i="1"/>
  <c r="C137" i="1"/>
  <c r="E137" i="1" s="1"/>
  <c r="F140" i="1" s="1"/>
  <c r="E24" i="1" s="1"/>
  <c r="C144" i="1"/>
  <c r="E144" i="1" s="1"/>
  <c r="C150" i="1"/>
  <c r="E150" i="1" s="1"/>
  <c r="D201" i="1"/>
  <c r="E201" i="1" s="1"/>
  <c r="D202" i="1" s="1"/>
  <c r="E202" i="1" s="1"/>
  <c r="E203" i="1"/>
  <c r="C31" i="4"/>
  <c r="A144" i="1"/>
  <c r="F190" i="12" l="1"/>
  <c r="E27" i="12" s="1"/>
  <c r="E30" i="12"/>
  <c r="C222" i="12"/>
  <c r="D223" i="12" s="1"/>
  <c r="E223" i="12" s="1"/>
  <c r="F256" i="12"/>
  <c r="E33" i="12" s="1"/>
  <c r="D120" i="1"/>
  <c r="E120" i="1" s="1"/>
  <c r="E121" i="1" s="1"/>
  <c r="D122" i="1" s="1"/>
  <c r="F152" i="1"/>
  <c r="E26" i="1" s="1"/>
  <c r="C217" i="1"/>
  <c r="D218" i="1" s="1"/>
  <c r="E218" i="1" s="1"/>
  <c r="D187" i="1"/>
  <c r="E187" i="1" s="1"/>
  <c r="D85" i="1"/>
  <c r="C221" i="1"/>
  <c r="D206" i="1"/>
  <c r="E206" i="1" s="1"/>
  <c r="D207" i="1" s="1"/>
  <c r="E207" i="1" s="1"/>
  <c r="E208" i="1" s="1"/>
  <c r="D209" i="1" s="1"/>
  <c r="E209" i="1" s="1"/>
  <c r="C270" i="1"/>
  <c r="E270" i="1" s="1"/>
  <c r="F271" i="1" s="1"/>
  <c r="E35" i="1" s="1"/>
  <c r="C244" i="1"/>
  <c r="D64" i="1"/>
  <c r="E64" i="1" s="1"/>
  <c r="E65" i="1" s="1"/>
  <c r="D131" i="1" s="1"/>
  <c r="E131" i="1" s="1"/>
  <c r="F133" i="1"/>
  <c r="E23" i="1" s="1"/>
  <c r="C32" i="4"/>
  <c r="C20" i="3" s="1"/>
  <c r="C26" i="3" s="1"/>
  <c r="C35" i="3" s="1"/>
  <c r="C37" i="3" s="1"/>
  <c r="C38" i="3" s="1"/>
  <c r="C52" i="15" s="1"/>
  <c r="E52" i="15" s="1"/>
  <c r="E53" i="15" s="1"/>
  <c r="D54" i="15" s="1"/>
  <c r="E54" i="15" s="1"/>
  <c r="F55" i="15" s="1"/>
  <c r="C37" i="4"/>
  <c r="D100" i="1"/>
  <c r="E174" i="1"/>
  <c r="F174" i="1" s="1"/>
  <c r="E69" i="1"/>
  <c r="C222" i="1" l="1"/>
  <c r="D223" i="1" s="1"/>
  <c r="E223" i="1" s="1"/>
  <c r="D225" i="1" s="1"/>
  <c r="E225" i="1" s="1"/>
  <c r="E226" i="1" s="1"/>
  <c r="D227" i="1" s="1"/>
  <c r="E227" i="1" s="1"/>
  <c r="F78" i="15"/>
  <c r="E18" i="15"/>
  <c r="D225" i="12"/>
  <c r="E225" i="12" s="1"/>
  <c r="E226" i="12" s="1"/>
  <c r="C122" i="12"/>
  <c r="E122" i="12" s="1"/>
  <c r="E123" i="12" s="1"/>
  <c r="D124" i="12" s="1"/>
  <c r="E124" i="12" s="1"/>
  <c r="F125" i="12" s="1"/>
  <c r="C100" i="12"/>
  <c r="E100" i="12" s="1"/>
  <c r="E101" i="12" s="1"/>
  <c r="D102" i="12" s="1"/>
  <c r="E102" i="12" s="1"/>
  <c r="F103" i="12" s="1"/>
  <c r="E21" i="12" s="1"/>
  <c r="C85" i="12"/>
  <c r="E85" i="12" s="1"/>
  <c r="E86" i="12" s="1"/>
  <c r="D87" i="12" s="1"/>
  <c r="E87" i="12" s="1"/>
  <c r="F88" i="12" s="1"/>
  <c r="E20" i="12" s="1"/>
  <c r="C66" i="12"/>
  <c r="E66" i="12" s="1"/>
  <c r="E67" i="12" s="1"/>
  <c r="D68" i="12" s="1"/>
  <c r="E68" i="12" s="1"/>
  <c r="F69" i="12" s="1"/>
  <c r="E19" i="12" s="1"/>
  <c r="D66" i="1"/>
  <c r="C261" i="1"/>
  <c r="E261" i="1" s="1"/>
  <c r="F262" i="1" s="1"/>
  <c r="E34" i="1" s="1"/>
  <c r="C252" i="1"/>
  <c r="E252" i="1" s="1"/>
  <c r="C248" i="1"/>
  <c r="E248" i="1" s="1"/>
  <c r="E244" i="1"/>
  <c r="C250" i="1"/>
  <c r="E250" i="1" s="1"/>
  <c r="C246" i="1"/>
  <c r="E246" i="1" s="1"/>
  <c r="E188" i="1"/>
  <c r="F188" i="1" s="1"/>
  <c r="F190" i="1" s="1"/>
  <c r="E27" i="1" s="1"/>
  <c r="E146" i="1"/>
  <c r="F146" i="1" s="1"/>
  <c r="E210" i="1"/>
  <c r="E228" i="1" s="1"/>
  <c r="E125" i="1"/>
  <c r="C100" i="1"/>
  <c r="E100" i="1" s="1"/>
  <c r="E101" i="1" s="1"/>
  <c r="D102" i="1" s="1"/>
  <c r="E102" i="1" s="1"/>
  <c r="F103" i="1" s="1"/>
  <c r="E21" i="1" s="1"/>
  <c r="C85" i="1"/>
  <c r="E85" i="1" s="1"/>
  <c r="E86" i="1" s="1"/>
  <c r="D87" i="1" s="1"/>
  <c r="E87" i="1" s="1"/>
  <c r="F88" i="1" s="1"/>
  <c r="E20" i="1" s="1"/>
  <c r="C122" i="1"/>
  <c r="E122" i="1" s="1"/>
  <c r="E123" i="1" s="1"/>
  <c r="D124" i="1" s="1"/>
  <c r="E124" i="1" s="1"/>
  <c r="C66" i="1"/>
  <c r="E17" i="15" l="1"/>
  <c r="F124" i="15"/>
  <c r="D227" i="12"/>
  <c r="E227" i="12" s="1"/>
  <c r="F228" i="12" s="1"/>
  <c r="E31" i="12" s="1"/>
  <c r="E29" i="12" s="1"/>
  <c r="F125" i="1"/>
  <c r="E22" i="1" s="1"/>
  <c r="F154" i="12"/>
  <c r="E18" i="12" s="1"/>
  <c r="E22" i="12"/>
  <c r="E295" i="1"/>
  <c r="F295" i="1" s="1"/>
  <c r="F297" i="1" s="1"/>
  <c r="E37" i="1" s="1"/>
  <c r="E236" i="1"/>
  <c r="F236" i="1" s="1"/>
  <c r="E32" i="1" s="1"/>
  <c r="E66" i="1"/>
  <c r="E67" i="1" s="1"/>
  <c r="D68" i="1" s="1"/>
  <c r="E68" i="1" s="1"/>
  <c r="F69" i="1" s="1"/>
  <c r="E19" i="1" s="1"/>
  <c r="F210" i="1"/>
  <c r="E25" i="1"/>
  <c r="F256" i="1"/>
  <c r="E33" i="1" s="1"/>
  <c r="F228" i="1"/>
  <c r="E31" i="1" s="1"/>
  <c r="D129" i="15" l="1"/>
  <c r="E129" i="15" s="1"/>
  <c r="F130" i="15" s="1"/>
  <c r="F132" i="15" s="1"/>
  <c r="E24" i="15" s="1"/>
  <c r="F273" i="12"/>
  <c r="E28" i="12" s="1"/>
  <c r="F154" i="1"/>
  <c r="E18" i="1" s="1"/>
  <c r="F273" i="1"/>
  <c r="E28" i="1" s="1"/>
  <c r="E30" i="1"/>
  <c r="E25" i="15" l="1"/>
  <c r="F135" i="15"/>
  <c r="F299" i="12"/>
  <c r="D304" i="12" s="1"/>
  <c r="E304" i="12" s="1"/>
  <c r="F305" i="12" s="1"/>
  <c r="F307" i="12" s="1"/>
  <c r="E38" i="12" s="1"/>
  <c r="E39" i="12" s="1"/>
  <c r="E29" i="1"/>
  <c r="F299" i="1"/>
  <c r="F140" i="15" l="1"/>
  <c r="D6" i="2"/>
  <c r="F23" i="15"/>
  <c r="F22" i="15"/>
  <c r="F19" i="15"/>
  <c r="F20" i="15"/>
  <c r="F21" i="15"/>
  <c r="F18" i="15"/>
  <c r="F17" i="15"/>
  <c r="F24" i="15"/>
  <c r="F310" i="12"/>
  <c r="D4" i="2" s="1"/>
  <c r="F23" i="12"/>
  <c r="F24" i="12"/>
  <c r="F36" i="12"/>
  <c r="F37" i="12"/>
  <c r="F35" i="12"/>
  <c r="F32" i="12"/>
  <c r="F27" i="12"/>
  <c r="F20" i="12"/>
  <c r="F34" i="12"/>
  <c r="F21" i="12"/>
  <c r="F25" i="12"/>
  <c r="F26" i="12"/>
  <c r="F19" i="12"/>
  <c r="F22" i="12"/>
  <c r="F30" i="12"/>
  <c r="F33" i="12"/>
  <c r="F31" i="12"/>
  <c r="F28" i="12"/>
  <c r="F18" i="12"/>
  <c r="F29" i="12"/>
  <c r="F38" i="12"/>
  <c r="D304" i="1"/>
  <c r="E304" i="1" s="1"/>
  <c r="F305" i="1" s="1"/>
  <c r="F307" i="1" s="1"/>
  <c r="E38" i="1" s="1"/>
  <c r="F25" i="15" l="1"/>
  <c r="F39" i="12"/>
  <c r="E39" i="1"/>
  <c r="F38" i="1" s="1"/>
  <c r="F310" i="1"/>
  <c r="D5" i="2" s="1"/>
  <c r="D8" i="2" s="1"/>
  <c r="F36" i="1" l="1"/>
  <c r="F26" i="1"/>
  <c r="F24" i="1"/>
  <c r="F23" i="1"/>
  <c r="F35" i="1"/>
  <c r="F22" i="1"/>
  <c r="F20" i="1"/>
  <c r="F27" i="1"/>
  <c r="F21" i="1"/>
  <c r="F34" i="1"/>
  <c r="F25" i="1"/>
  <c r="F33" i="1"/>
  <c r="F37" i="1"/>
  <c r="F31" i="1"/>
  <c r="F32" i="1"/>
  <c r="F19" i="1"/>
  <c r="F30" i="1"/>
  <c r="F28" i="1"/>
  <c r="F18" i="1"/>
  <c r="F29" i="1"/>
  <c r="A17" i="2" l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Clauber Bridi</author>
  </authors>
  <commentList>
    <comment ref="A16" authorId="0" shapeId="0" xr:uid="{00000000-0006-0000-0000-000001000000}">
      <text>
        <r>
          <rPr>
            <sz val="9"/>
            <color rgb="FF000000"/>
            <rFont val="Tahoma"/>
            <family val="2"/>
            <charset val="1"/>
          </rPr>
          <t xml:space="preserve">Qualquer custo previsto no edital e não contemplado nesta planilha modelo deverá ser devidamente incluído
</t>
        </r>
      </text>
    </comment>
    <comment ref="B54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C61" authorId="0" shapeId="0" xr:uid="{00000000-0006-0000-0000-000003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nos domingos e feriados em horário diurno
</t>
        </r>
      </text>
    </comment>
    <comment ref="C62" authorId="0" shapeId="0" xr:uid="{00000000-0006-0000-0000-000004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63" authorId="0" shapeId="0" xr:uid="{00000000-0006-0000-0000-000005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6" authorId="0" shapeId="0" xr:uid="{00000000-0006-0000-0000-000006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68" authorId="0" shapeId="0" xr:uid="{00000000-0006-0000-0000-000007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74" authorId="0" shapeId="0" xr:uid="{00000000-0006-0000-0000-000008000000}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76" authorId="0" shapeId="0" xr:uid="{00000000-0006-0000-0000-000009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77" authorId="0" shapeId="0" xr:uid="{00000000-0006-0000-0000-00000A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79" authorId="0" shapeId="0" xr:uid="{00000000-0006-0000-0000-00000B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80" authorId="0" shapeId="0" xr:uid="{00000000-0006-0000-0000-00000C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82" authorId="0" shapeId="0" xr:uid="{00000000-0006-0000-0000-00000D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5" authorId="0" shapeId="0" xr:uid="{00000000-0006-0000-0000-00000E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87" authorId="0" shapeId="0" xr:uid="{00000000-0006-0000-0000-00000F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93" authorId="0" shapeId="0" xr:uid="{00000000-0006-0000-0000-000010000000}">
      <text>
        <r>
          <rPr>
            <sz val="9"/>
            <color rgb="FF000000"/>
            <rFont val="Tahoma"/>
            <family val="2"/>
            <charset val="1"/>
          </rPr>
          <t>Informar o valor do salário Mínimo Nacional</t>
        </r>
      </text>
    </comment>
    <comment ref="C94" authorId="0" shapeId="0" xr:uid="{00000000-0006-0000-0000-000011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95" authorId="0" shapeId="0" xr:uid="{00000000-0006-0000-0000-000012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96" authorId="0" shapeId="0" xr:uid="{00000000-0006-0000-0000-000013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7" authorId="0" shapeId="0" xr:uid="{00000000-0006-0000-0000-000014000000}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98" authorId="0" shapeId="0" xr:uid="{00000000-0006-0000-0000-000015000000}">
      <text>
        <r>
          <rPr>
            <sz val="9"/>
            <color rgb="FF000000"/>
            <rFont val="Tahoma"/>
            <family val="2"/>
            <charset val="1"/>
          </rPr>
          <t>Percentual estabelecido nas Normas de Segurança de Trabalho ou pelo laudo de responsável técnico devidamente habilitado</t>
        </r>
      </text>
    </comment>
    <comment ref="C100" authorId="0" shapeId="0" xr:uid="{00000000-0006-0000-0000-000016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102" authorId="0" shapeId="0" xr:uid="{00000000-0006-0000-0000-000017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110" authorId="0" shapeId="0" xr:uid="{00000000-0006-0000-0000-000018000000}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112" authorId="0" shapeId="0" xr:uid="{00000000-0006-0000-0000-000019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nos domingos e feriados</t>
        </r>
      </text>
    </comment>
    <comment ref="C113" authorId="0" shapeId="0" xr:uid="{00000000-0006-0000-0000-00001A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115" authorId="0" shapeId="0" xr:uid="{00000000-0006-0000-0000-00001B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116" authorId="0" shapeId="0" xr:uid="{00000000-0006-0000-0000-00001C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118" authorId="0" shapeId="0" xr:uid="{00000000-0006-0000-0000-00001D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9" authorId="0" shapeId="0" xr:uid="{00000000-0006-0000-0000-00001E000000}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122" authorId="0" shapeId="0" xr:uid="{00000000-0006-0000-0000-00001F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124" authorId="0" shapeId="0" xr:uid="{00000000-0006-0000-0000-000020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129" authorId="0" shapeId="0" xr:uid="{00000000-0006-0000-0000-000021000000}">
      <text>
        <r>
          <rPr>
            <sz val="9"/>
            <color rgb="FF000000"/>
            <rFont val="Tahoma"/>
            <family val="2"/>
            <charset val="1"/>
          </rPr>
          <t>Informar o valor unitário do VT no município</t>
        </r>
      </text>
    </comment>
    <comment ref="C130" authorId="0" shapeId="0" xr:uid="{00000000-0006-0000-0000-000022000000}">
      <text>
        <r>
          <rPr>
            <sz val="9"/>
            <color rgb="FF000000"/>
            <rFont val="Tahoma"/>
            <family val="2"/>
            <charset val="1"/>
          </rPr>
          <t>Informar o número médio de dias trabalhados por mês</t>
        </r>
      </text>
    </comment>
    <comment ref="D137" authorId="1" shapeId="0" xr:uid="{00000000-0006-0000-0000-000023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1" shapeId="0" xr:uid="{00000000-0006-0000-0000-000024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1" shapeId="0" xr:uid="{00000000-0006-0000-0000-000025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4" authorId="0" shapeId="0" xr:uid="{00000000-0006-0000-0000-000026000000}">
      <text>
        <r>
          <rPr>
            <sz val="9"/>
            <color rgb="FF000000"/>
            <rFont val="Tahoma"/>
            <family val="2"/>
            <charset val="1"/>
          </rPr>
          <t>Informar o valor mensal do auxilio alimentação, considerando o desconto aplicável ao funcionário, conforme Convenção Coletiva da categoria</t>
        </r>
      </text>
    </comment>
    <comment ref="D145" authorId="1" shapeId="0" xr:uid="{00000000-0006-0000-0000-000027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9" authorId="0" shapeId="0" xr:uid="{00000000-0006-0000-0000-000028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0" authorId="0" shapeId="0" xr:uid="{00000000-0006-0000-0000-000029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1" authorId="0" shapeId="0" xr:uid="{00000000-0006-0000-0000-00002A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2" authorId="0" shapeId="0" xr:uid="{00000000-0006-0000-0000-00002B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3" authorId="0" shapeId="0" xr:uid="{00000000-0006-0000-0000-00002C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5" authorId="0" shapeId="0" xr:uid="{00000000-0006-0000-0000-00002D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86" authorId="0" shapeId="0" xr:uid="{00000000-0006-0000-0000-00002E000000}">
      <text>
        <r>
          <rPr>
            <sz val="9"/>
            <color rgb="FF000000"/>
            <rFont val="Tahoma"/>
            <family val="2"/>
            <charset val="1"/>
          </rPr>
          <t>Informar o valor mensal de higienização de uniforme para 1 funcionário</t>
        </r>
      </text>
    </comment>
    <comment ref="D198" authorId="0" shapeId="0" xr:uid="{00000000-0006-0000-0000-00002F000000}">
      <text>
        <r>
          <rPr>
            <sz val="9"/>
            <color rgb="FF000000"/>
            <rFont val="Tahoma"/>
            <family val="2"/>
            <charset val="1"/>
          </rPr>
          <t>Informar o preço unitário do chassis do caminhão de coleta</t>
        </r>
      </text>
    </comment>
    <comment ref="C199" authorId="0" shapeId="0" xr:uid="{00000000-0006-0000-0000-000030000000}">
      <text>
        <r>
          <rPr>
            <sz val="9"/>
            <color rgb="FF000000"/>
            <rFont val="Tahoma"/>
            <family val="2"/>
            <charset val="1"/>
          </rPr>
          <t>Informar a vida útil estimada para o caminhão, em anos</t>
        </r>
      </text>
    </comment>
    <comment ref="C200" authorId="0" shapeId="0" xr:uid="{00000000-0006-0000-0000-000031000000}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veículo proposto.</t>
        </r>
      </text>
    </comment>
    <comment ref="C201" authorId="0" shapeId="0" xr:uid="{00000000-0006-0000-0000-000032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caminhão, adotando o valor sugerido pelo TCE ou outro valor estimado 
</t>
        </r>
      </text>
    </comment>
    <comment ref="D203" authorId="0" shapeId="0" xr:uid="{00000000-0006-0000-0000-000033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equipamento compactador
</t>
        </r>
      </text>
    </comment>
    <comment ref="C204" authorId="0" shapeId="0" xr:uid="{00000000-0006-0000-0000-000034000000}">
      <text>
        <r>
          <rPr>
            <sz val="9"/>
            <color rgb="FF000000"/>
            <rFont val="Tahoma"/>
            <family val="2"/>
            <charset val="1"/>
          </rPr>
          <t>Informar a vida útil estimada para o compactador, em anos</t>
        </r>
      </text>
    </comment>
    <comment ref="C205" authorId="0" shapeId="0" xr:uid="{00000000-0006-0000-0000-000035000000}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compactador proposto.</t>
        </r>
      </text>
    </comment>
    <comment ref="C206" authorId="0" shapeId="0" xr:uid="{00000000-0006-0000-0000-000036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compactador, adotando o valor sugerido pelo TCE ou outro valor estimado 
</t>
        </r>
      </text>
    </comment>
    <comment ref="C209" authorId="0" shapeId="0" xr:uid="{00000000-0006-0000-0000-000037000000}">
      <text>
        <r>
          <rPr>
            <sz val="9"/>
            <color rgb="FF000000"/>
            <rFont val="Tahoma"/>
            <family val="2"/>
            <charset val="1"/>
          </rPr>
          <t>Informar a quantidade de caminhões compactadores do respectivo modelo</t>
        </r>
      </text>
    </comment>
    <comment ref="C215" authorId="0" shapeId="0" xr:uid="{00000000-0006-0000-0000-000038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a taxa de juros anual para remuneração do capital. Recomenda-se o uso da Taxa SELIC
</t>
        </r>
      </text>
    </comment>
    <comment ref="D233" authorId="0" shapeId="0" xr:uid="{00000000-0006-0000-0000-000039000000}">
      <text>
        <r>
          <rPr>
            <sz val="9"/>
            <color rgb="FF000000"/>
            <rFont val="Tahoma"/>
            <family val="2"/>
            <charset val="1"/>
          </rPr>
          <t xml:space="preserve">Informar o valor do seguro obrigatório e licenciamento anual de um caminhão
</t>
        </r>
      </text>
    </comment>
    <comment ref="D234" authorId="0" shapeId="0" xr:uid="{00000000-0006-0000-0000-00003A000000}">
      <text>
        <r>
          <rPr>
            <sz val="9"/>
            <color rgb="FF000000"/>
            <rFont val="Tahoma"/>
            <family val="2"/>
            <charset val="1"/>
          </rPr>
          <t xml:space="preserve">Informar o valor do seguro contra terceiros de um caminhão, se houver previsão no Projeto Básico
</t>
        </r>
      </text>
    </comment>
    <comment ref="B240" authorId="0" shapeId="0" xr:uid="{00000000-0006-0000-0000-00003B000000}">
      <text>
        <r>
          <rPr>
            <sz val="9"/>
            <color rgb="FF000000"/>
            <rFont val="Tahoma"/>
            <family val="2"/>
            <charset val="1"/>
          </rPr>
          <t xml:space="preserve">Informar a quilometragem mensal percorrida, de acordo com o projeto básico
</t>
        </r>
      </text>
    </comment>
    <comment ref="C243" authorId="0" shapeId="0" xr:uid="{00000000-0006-0000-0000-00003C000000}">
      <text>
        <r>
          <rPr>
            <sz val="9"/>
            <color rgb="FF000000"/>
            <rFont val="Tahoma"/>
            <family val="2"/>
            <charset val="1"/>
          </rPr>
          <t>Informar o consumo estimado do veículo em km/l</t>
        </r>
      </text>
    </comment>
    <comment ref="D243" authorId="0" shapeId="0" xr:uid="{00000000-0006-0000-0000-00003D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combustivel
</t>
        </r>
      </text>
    </comment>
    <comment ref="C245" authorId="0" shapeId="0" xr:uid="{00000000-0006-0000-0000-00003E000000}">
      <text>
        <r>
          <rPr>
            <sz val="9"/>
            <color rgb="FF000000"/>
            <rFont val="Tahoma"/>
            <family val="2"/>
            <charset val="1"/>
          </rPr>
          <t>Informar o consumo de óleo do motor a cada 1000km</t>
        </r>
      </text>
    </comment>
    <comment ref="D245" authorId="0" shapeId="0" xr:uid="{00000000-0006-0000-0000-00003F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do motor
</t>
        </r>
      </text>
    </comment>
    <comment ref="C247" authorId="0" shapeId="0" xr:uid="{00000000-0006-0000-0000-000040000000}">
      <text>
        <r>
          <rPr>
            <sz val="9"/>
            <color rgb="FF000000"/>
            <rFont val="Tahoma"/>
            <family val="2"/>
            <charset val="1"/>
          </rPr>
          <t>Informar o consumo de óleo da transmissão a cada 1000km</t>
        </r>
      </text>
    </comment>
    <comment ref="D247" authorId="0" shapeId="0" xr:uid="{00000000-0006-0000-0000-000041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da transmissão
</t>
        </r>
      </text>
    </comment>
    <comment ref="C249" authorId="0" shapeId="0" xr:uid="{00000000-0006-0000-0000-000042000000}">
      <text>
        <r>
          <rPr>
            <sz val="9"/>
            <color rgb="FF000000"/>
            <rFont val="Tahoma"/>
            <family val="2"/>
            <charset val="1"/>
          </rPr>
          <t>Informar o consumo de óleo hidráulico a cada 1000km</t>
        </r>
      </text>
    </comment>
    <comment ref="D249" authorId="0" shapeId="0" xr:uid="{00000000-0006-0000-0000-000043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hidráulico
</t>
        </r>
      </text>
    </comment>
    <comment ref="C251" authorId="0" shapeId="0" xr:uid="{00000000-0006-0000-0000-000044000000}">
      <text>
        <r>
          <rPr>
            <sz val="9"/>
            <color rgb="FF000000"/>
            <rFont val="Tahoma"/>
            <family val="2"/>
            <charset val="1"/>
          </rPr>
          <t>Informar o consumo de graxa a cada 1000km</t>
        </r>
      </text>
    </comment>
    <comment ref="D251" authorId="0" shapeId="0" xr:uid="{00000000-0006-0000-0000-000045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da graxa
</t>
        </r>
      </text>
    </comment>
    <comment ref="C253" authorId="0" shapeId="0" xr:uid="{00000000-0006-0000-0000-000046000000}">
      <text>
        <r>
          <rPr>
            <sz val="9"/>
            <color rgb="FF000000"/>
            <rFont val="Tahoma"/>
            <family val="2"/>
            <charset val="1"/>
          </rPr>
          <t>Informar o consumo de graxa a cada 1000km</t>
        </r>
      </text>
    </comment>
    <comment ref="D253" authorId="0" shapeId="0" xr:uid="{00000000-0006-0000-0000-000047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da graxa
</t>
        </r>
      </text>
    </comment>
    <comment ref="D260" authorId="0" shapeId="0" xr:uid="{00000000-0006-0000-0000-000048000000}">
      <text>
        <r>
          <rPr>
            <sz val="9"/>
            <color rgb="FF000000"/>
            <rFont val="Tahoma"/>
            <family val="2"/>
            <charset val="1"/>
          </rPr>
          <t xml:space="preserve">Informar o custo de manutenção em R$/km rodado
</t>
        </r>
      </text>
    </comment>
    <comment ref="D261" authorId="0" shapeId="0" xr:uid="{00000000-0006-0000-0000-000049000000}">
      <text>
        <r>
          <rPr>
            <sz val="9"/>
            <color rgb="FF000000"/>
            <rFont val="Tahoma"/>
            <family val="2"/>
            <charset val="1"/>
          </rPr>
          <t xml:space="preserve">Informar o custo de manutenção em R$/km rodado
</t>
        </r>
      </text>
    </comment>
    <comment ref="C266" authorId="0" shapeId="0" xr:uid="{00000000-0006-0000-0000-00004A000000}">
      <text>
        <r>
          <rPr>
            <sz val="9"/>
            <color rgb="FF000000"/>
            <rFont val="Tahoma"/>
            <family val="2"/>
            <charset val="1"/>
          </rPr>
          <t>Informar a quantidade de pneus novos de 1 caminhão</t>
        </r>
      </text>
    </comment>
    <comment ref="D266" authorId="0" shapeId="0" xr:uid="{00000000-0006-0000-0000-00004B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pneu
</t>
        </r>
      </text>
    </comment>
    <comment ref="C267" authorId="0" shapeId="0" xr:uid="{00000000-0006-0000-0000-00004C000000}">
      <text>
        <r>
          <rPr>
            <sz val="9"/>
            <color rgb="FF000000"/>
            <rFont val="Tahoma"/>
            <family val="2"/>
            <charset val="1"/>
          </rPr>
          <t>Informar o número de recapagens por pneu</t>
        </r>
      </text>
    </comment>
    <comment ref="D268" authorId="0" shapeId="0" xr:uid="{00000000-0006-0000-0000-00004D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recapagem
</t>
        </r>
      </text>
    </comment>
    <comment ref="C269" authorId="0" shapeId="0" xr:uid="{00000000-0006-0000-0000-00004E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média dos pneus considerando as recapagens, em km
</t>
        </r>
      </text>
    </comment>
    <comment ref="C278" authorId="0" shapeId="0" xr:uid="{00000000-0006-0000-0000-00004F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 shapeId="0" xr:uid="{00000000-0006-0000-0000-000050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79" authorId="0" shapeId="0" xr:uid="{00000000-0006-0000-0000-000051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9" authorId="0" shapeId="0" xr:uid="{00000000-0006-0000-0000-000052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80" authorId="0" shapeId="0" xr:uid="{00000000-0006-0000-0000-000053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80" authorId="0" shapeId="0" xr:uid="{00000000-0006-0000-0000-000054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83" authorId="0" shapeId="0" xr:uid="{00000000-0006-0000-0000-000055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83" authorId="0" shapeId="0" xr:uid="{00000000-0006-0000-0000-000056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A288" authorId="0" shapeId="0" xr:uid="{00000000-0006-0000-0000-000057000000}">
      <text>
        <r>
          <rPr>
            <b/>
            <sz val="9"/>
            <color rgb="FF000000"/>
            <rFont val="Tahoma"/>
            <family val="2"/>
            <charset val="1"/>
          </rPr>
          <t xml:space="preserve">Especificar somente quando for exigido no Projeto Básico
</t>
        </r>
      </text>
    </comment>
    <comment ref="D291" authorId="0" shapeId="0" xr:uid="{00000000-0006-0000-0000-000058000000}">
      <text>
        <r>
          <rPr>
            <sz val="9"/>
            <color rgb="FF000000"/>
            <rFont val="Tahoma"/>
            <family val="2"/>
            <charset val="1"/>
          </rPr>
          <t>Informar o valor total para instalação do equipamento de monitoramento da frota, se houver previsão no Projeto Básico</t>
        </r>
      </text>
    </comment>
    <comment ref="D293" authorId="0" shapeId="0" xr:uid="{00000000-0006-0000-0000-000059000000}">
      <text>
        <r>
          <rPr>
            <sz val="9"/>
            <color rgb="FF000000"/>
            <rFont val="Tahoma"/>
            <family val="2"/>
            <charset val="1"/>
          </rPr>
          <t>Informar o valor unitário mensal para manutenção dos equipamentos de monitoramento</t>
        </r>
      </text>
    </comment>
    <comment ref="C304" authorId="0" shapeId="0" xr:uid="{00000000-0006-0000-0000-00005A000000}">
      <text>
        <r>
          <rPr>
            <sz val="9"/>
            <color rgb="FF000000"/>
            <rFont val="Tahoma"/>
            <family val="2"/>
            <charset val="1"/>
          </rPr>
          <t>Preencher a aba 4.BDI</t>
        </r>
      </text>
    </comment>
    <comment ref="D313" authorId="0" shapeId="0" xr:uid="{00000000-0006-0000-0000-00005B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Clauber Bridi</author>
  </authors>
  <commentList>
    <comment ref="A16" authorId="0" shapeId="0" xr:uid="{00000000-0006-0000-0100-000001000000}">
      <text>
        <r>
          <rPr>
            <sz val="9"/>
            <color rgb="FF000000"/>
            <rFont val="Tahoma"/>
            <family val="2"/>
            <charset val="1"/>
          </rPr>
          <t xml:space="preserve">Qualquer custo previsto no edital e não contemplado nesta planilha modelo deverá ser devidamente incluído
</t>
        </r>
      </text>
    </comment>
    <comment ref="B54" authorId="0" shapeId="0" xr:uid="{00000000-0006-0000-01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C61" authorId="0" shapeId="0" xr:uid="{00000000-0006-0000-0100-000003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nos domingos e feriados em horário diurno
</t>
        </r>
      </text>
    </comment>
    <comment ref="C62" authorId="0" shapeId="0" xr:uid="{00000000-0006-0000-0100-000004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63" authorId="0" shapeId="0" xr:uid="{00000000-0006-0000-0100-000005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6" authorId="0" shapeId="0" xr:uid="{00000000-0006-0000-0100-000006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68" authorId="0" shapeId="0" xr:uid="{00000000-0006-0000-0100-000007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74" authorId="0" shapeId="0" xr:uid="{00000000-0006-0000-0100-000008000000}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76" authorId="0" shapeId="0" xr:uid="{00000000-0006-0000-0100-000009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77" authorId="0" shapeId="0" xr:uid="{00000000-0006-0000-0100-00000A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79" authorId="0" shapeId="0" xr:uid="{00000000-0006-0000-0100-00000B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80" authorId="0" shapeId="0" xr:uid="{00000000-0006-0000-0100-00000C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82" authorId="0" shapeId="0" xr:uid="{00000000-0006-0000-0100-00000D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5" authorId="0" shapeId="0" xr:uid="{00000000-0006-0000-0100-00000E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87" authorId="0" shapeId="0" xr:uid="{00000000-0006-0000-0100-00000F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93" authorId="0" shapeId="0" xr:uid="{00000000-0006-0000-0100-000010000000}">
      <text>
        <r>
          <rPr>
            <sz val="9"/>
            <color rgb="FF000000"/>
            <rFont val="Tahoma"/>
            <family val="2"/>
            <charset val="1"/>
          </rPr>
          <t>Informar o valor do salário Mínimo Nacional</t>
        </r>
      </text>
    </comment>
    <comment ref="C94" authorId="0" shapeId="0" xr:uid="{00000000-0006-0000-0100-000011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diurno nos domingos e feriados</t>
        </r>
      </text>
    </comment>
    <comment ref="C95" authorId="0" shapeId="0" xr:uid="{00000000-0006-0000-0100-000012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diurno de segunda a sábado 
</t>
        </r>
      </text>
    </comment>
    <comment ref="A96" authorId="0" shapeId="0" xr:uid="{00000000-0006-0000-0100-000013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7" authorId="0" shapeId="0" xr:uid="{00000000-0006-0000-0100-000014000000}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98" authorId="0" shapeId="0" xr:uid="{00000000-0006-0000-0100-000015000000}">
      <text>
        <r>
          <rPr>
            <sz val="9"/>
            <color rgb="FF000000"/>
            <rFont val="Tahoma"/>
            <family val="2"/>
            <charset val="1"/>
          </rPr>
          <t>Percentual estabelecido nas Normas de Segurança de Trabalho ou pelo laudo de responsável técnico devidamente habilitado</t>
        </r>
      </text>
    </comment>
    <comment ref="C100" authorId="0" shapeId="0" xr:uid="{00000000-0006-0000-0100-000016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102" authorId="0" shapeId="0" xr:uid="{00000000-0006-0000-0100-000017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C110" authorId="0" shapeId="0" xr:uid="{00000000-0006-0000-0100-000018000000}">
      <text>
        <r>
          <rPr>
            <sz val="9"/>
            <color rgb="FF000000"/>
            <rFont val="Tahoma"/>
            <family val="2"/>
            <charset val="1"/>
          </rPr>
          <t>Informar o número de horas noturnas trabalhadas no intervalo das 22:00h as 5:00h</t>
        </r>
      </text>
    </comment>
    <comment ref="C112" authorId="0" shapeId="0" xr:uid="{00000000-0006-0000-0100-000019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nos domingos e feriados</t>
        </r>
      </text>
    </comment>
    <comment ref="C113" authorId="0" shapeId="0" xr:uid="{00000000-0006-0000-0100-00001A000000}">
      <text>
        <r>
          <rPr>
            <sz val="9"/>
            <color rgb="FF000000"/>
            <rFont val="Tahoma"/>
            <family val="2"/>
            <charset val="1"/>
          </rPr>
          <t xml:space="preserve">Informar o número de horas extras trabalhadas em horário noturno (das 22:00h as 5h) nos domingos e feriados
</t>
        </r>
      </text>
    </comment>
    <comment ref="C115" authorId="0" shapeId="0" xr:uid="{00000000-0006-0000-0100-00001B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de segunda à sábado</t>
        </r>
      </text>
    </comment>
    <comment ref="C116" authorId="0" shapeId="0" xr:uid="{00000000-0006-0000-0100-00001C000000}">
      <text>
        <r>
          <rPr>
            <sz val="9"/>
            <color rgb="FF000000"/>
            <rFont val="Tahoma"/>
            <family val="2"/>
            <charset val="1"/>
          </rPr>
          <t>Informar o número de horas extras trabalhadas em horário noturno (das 22:00h as 5h) de segunda a sábado</t>
        </r>
      </text>
    </comment>
    <comment ref="A118" authorId="0" shapeId="0" xr:uid="{00000000-0006-0000-0100-00001D000000}">
      <text>
        <r>
          <rPr>
            <sz val="9"/>
            <color rgb="FF000000"/>
            <rFont val="Tahoma"/>
            <family val="2"/>
            <charset val="1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9" authorId="0" shapeId="0" xr:uid="{00000000-0006-0000-0100-00001E000000}">
      <text>
        <r>
          <rPr>
            <sz val="9"/>
            <color rgb="FF000000"/>
            <rFont val="Tahoma"/>
            <family val="2"/>
            <charset val="1"/>
          </rPr>
          <t xml:space="preserve">Informar 1 se a base de cálculo for o Salário Mínimo Nacional; Informar 2 se a base de cálculo for o Piso da Categoria; 
</t>
        </r>
      </text>
    </comment>
    <comment ref="C122" authorId="0" shapeId="0" xr:uid="{00000000-0006-0000-0100-00001F000000}">
      <text>
        <r>
          <rPr>
            <sz val="9"/>
            <color rgb="FF000000"/>
            <rFont val="Tahoma"/>
            <family val="2"/>
            <charset val="1"/>
          </rPr>
          <t xml:space="preserve">Preencher a planilha Encargos Sociais e CAGED </t>
        </r>
      </text>
    </comment>
    <comment ref="C124" authorId="0" shapeId="0" xr:uid="{00000000-0006-0000-0100-000020000000}">
      <text>
        <r>
          <rPr>
            <sz val="9"/>
            <color rgb="FF000000"/>
            <rFont val="Tahoma"/>
            <family val="2"/>
            <charset val="1"/>
          </rPr>
          <t>Informar a quantidade de trabalhadores na função</t>
        </r>
      </text>
    </comment>
    <comment ref="D129" authorId="0" shapeId="0" xr:uid="{00000000-0006-0000-0100-000021000000}">
      <text>
        <r>
          <rPr>
            <sz val="9"/>
            <color rgb="FF000000"/>
            <rFont val="Tahoma"/>
            <family val="2"/>
            <charset val="1"/>
          </rPr>
          <t>Informar o valor unitário do VT no município</t>
        </r>
      </text>
    </comment>
    <comment ref="C130" authorId="0" shapeId="0" xr:uid="{00000000-0006-0000-0100-000022000000}">
      <text>
        <r>
          <rPr>
            <sz val="9"/>
            <color rgb="FF000000"/>
            <rFont val="Tahoma"/>
            <family val="2"/>
            <charset val="1"/>
          </rPr>
          <t>Informar o número médio de dias trabalhados por mês</t>
        </r>
      </text>
    </comment>
    <comment ref="D137" authorId="1" shapeId="0" xr:uid="{00000000-0006-0000-0100-000023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1" shapeId="0" xr:uid="{00000000-0006-0000-0100-000024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1" shapeId="0" xr:uid="{00000000-0006-0000-0100-000025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4" authorId="0" shapeId="0" xr:uid="{00000000-0006-0000-0100-000026000000}">
      <text>
        <r>
          <rPr>
            <sz val="9"/>
            <color rgb="FF000000"/>
            <rFont val="Tahoma"/>
            <family val="2"/>
            <charset val="1"/>
          </rPr>
          <t>Informar o valor mensal do auxilio alimentação, considerando o desconto aplicável ao funcionário, conforme Convenção Coletiva da categoria</t>
        </r>
      </text>
    </comment>
    <comment ref="D145" authorId="1" shapeId="0" xr:uid="{00000000-0006-0000-0100-000027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9" authorId="0" shapeId="0" xr:uid="{00000000-0006-0000-0100-000028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0" authorId="0" shapeId="0" xr:uid="{00000000-0006-0000-0100-000029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1" authorId="0" shapeId="0" xr:uid="{00000000-0006-0000-0100-00002A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2" authorId="0" shapeId="0" xr:uid="{00000000-0006-0000-0100-00002B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3" authorId="0" shapeId="0" xr:uid="{00000000-0006-0000-0100-00002C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C185" authorId="0" shapeId="0" xr:uid="{00000000-0006-0000-0100-00002D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estimada em meses, para cada EPI
</t>
        </r>
      </text>
    </comment>
    <comment ref="D186" authorId="0" shapeId="0" xr:uid="{00000000-0006-0000-0100-00002E000000}">
      <text>
        <r>
          <rPr>
            <sz val="9"/>
            <color rgb="FF000000"/>
            <rFont val="Tahoma"/>
            <family val="2"/>
            <charset val="1"/>
          </rPr>
          <t>Informar o valor mensal de higienização de uniforme para 1 funcionário</t>
        </r>
      </text>
    </comment>
    <comment ref="D198" authorId="0" shapeId="0" xr:uid="{00000000-0006-0000-0100-00002F000000}">
      <text>
        <r>
          <rPr>
            <sz val="9"/>
            <color rgb="FF000000"/>
            <rFont val="Tahoma"/>
            <family val="2"/>
            <charset val="1"/>
          </rPr>
          <t>Informar o preço unitário do chassis do caminhão de coleta</t>
        </r>
      </text>
    </comment>
    <comment ref="C199" authorId="0" shapeId="0" xr:uid="{00000000-0006-0000-0100-000030000000}">
      <text>
        <r>
          <rPr>
            <sz val="9"/>
            <color rgb="FF000000"/>
            <rFont val="Tahoma"/>
            <family val="2"/>
            <charset val="1"/>
          </rPr>
          <t>Informar a vida útil estimada para o caminhão, em anos</t>
        </r>
      </text>
    </comment>
    <comment ref="C200" authorId="0" shapeId="0" xr:uid="{00000000-0006-0000-0100-000031000000}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veículo proposto.</t>
        </r>
      </text>
    </comment>
    <comment ref="C201" authorId="0" shapeId="0" xr:uid="{00000000-0006-0000-0100-000032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caminhão, adotando o valor sugerido pelo TCE ou outro valor estimado 
</t>
        </r>
      </text>
    </comment>
    <comment ref="D203" authorId="0" shapeId="0" xr:uid="{00000000-0006-0000-0100-000033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equipamento compactador
</t>
        </r>
      </text>
    </comment>
    <comment ref="C204" authorId="0" shapeId="0" xr:uid="{00000000-0006-0000-0100-000034000000}">
      <text>
        <r>
          <rPr>
            <sz val="9"/>
            <color rgb="FF000000"/>
            <rFont val="Tahoma"/>
            <family val="2"/>
            <charset val="1"/>
          </rPr>
          <t>Informar a vida útil estimada para o compactador, em anos</t>
        </r>
      </text>
    </comment>
    <comment ref="C205" authorId="0" shapeId="0" xr:uid="{00000000-0006-0000-0100-000035000000}">
      <text>
        <r>
          <rPr>
            <sz val="9"/>
            <color rgb="FF000000"/>
            <rFont val="Tahoma"/>
            <family val="2"/>
            <charset val="1"/>
          </rPr>
          <t>Na elaboração do orçamento-base da licitação, informar 0 (zero). Na proposta da licitante, informar a idade do compactador proposto.</t>
        </r>
      </text>
    </comment>
    <comment ref="C206" authorId="0" shapeId="0" xr:uid="{00000000-0006-0000-0100-000036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da depreciação do compactador, adotando o valor sugerido pelo TCE ou outro valor estimado 
</t>
        </r>
      </text>
    </comment>
    <comment ref="C209" authorId="0" shapeId="0" xr:uid="{00000000-0006-0000-0100-000037000000}">
      <text>
        <r>
          <rPr>
            <sz val="9"/>
            <color rgb="FF000000"/>
            <rFont val="Tahoma"/>
            <family val="2"/>
            <charset val="1"/>
          </rPr>
          <t>Informar a quantidade de caminhões compactadores do respectivo modelo</t>
        </r>
      </text>
    </comment>
    <comment ref="C215" authorId="0" shapeId="0" xr:uid="{00000000-0006-0000-0100-000038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a taxa de juros anual para remuneração do capital. Recomenda-se o uso da Taxa SELIC
</t>
        </r>
      </text>
    </comment>
    <comment ref="D233" authorId="0" shapeId="0" xr:uid="{00000000-0006-0000-0100-000039000000}">
      <text>
        <r>
          <rPr>
            <sz val="9"/>
            <color rgb="FF000000"/>
            <rFont val="Tahoma"/>
            <family val="2"/>
            <charset val="1"/>
          </rPr>
          <t xml:space="preserve">Informar o valor do seguro obrigatório e licenciamento anual de um caminhão
</t>
        </r>
      </text>
    </comment>
    <comment ref="D234" authorId="0" shapeId="0" xr:uid="{00000000-0006-0000-0100-00003A000000}">
      <text>
        <r>
          <rPr>
            <sz val="9"/>
            <color rgb="FF000000"/>
            <rFont val="Tahoma"/>
            <family val="2"/>
            <charset val="1"/>
          </rPr>
          <t xml:space="preserve">Informar o valor do seguro contra terceiros de um caminhão, se houver previsão no Projeto Básico
</t>
        </r>
      </text>
    </comment>
    <comment ref="B240" authorId="0" shapeId="0" xr:uid="{00000000-0006-0000-0100-00003B000000}">
      <text>
        <r>
          <rPr>
            <sz val="9"/>
            <color rgb="FF000000"/>
            <rFont val="Tahoma"/>
            <family val="2"/>
            <charset val="1"/>
          </rPr>
          <t xml:space="preserve">Informar a quilometragem mensal percorrida, de acordo com o projeto básico
</t>
        </r>
      </text>
    </comment>
    <comment ref="C243" authorId="0" shapeId="0" xr:uid="{00000000-0006-0000-0100-00003C000000}">
      <text>
        <r>
          <rPr>
            <sz val="9"/>
            <color rgb="FF000000"/>
            <rFont val="Tahoma"/>
            <family val="2"/>
            <charset val="1"/>
          </rPr>
          <t>Informar o consumo estimado do veículo em km/l</t>
        </r>
      </text>
    </comment>
    <comment ref="D243" authorId="0" shapeId="0" xr:uid="{00000000-0006-0000-0100-00003D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combustivel
</t>
        </r>
      </text>
    </comment>
    <comment ref="C245" authorId="0" shapeId="0" xr:uid="{00000000-0006-0000-0100-00003E000000}">
      <text>
        <r>
          <rPr>
            <sz val="9"/>
            <color rgb="FF000000"/>
            <rFont val="Tahoma"/>
            <family val="2"/>
            <charset val="1"/>
          </rPr>
          <t>Informar o consumo de óleo do motor a cada 1000km</t>
        </r>
      </text>
    </comment>
    <comment ref="D245" authorId="0" shapeId="0" xr:uid="{00000000-0006-0000-0100-00003F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do motor
</t>
        </r>
      </text>
    </comment>
    <comment ref="C247" authorId="0" shapeId="0" xr:uid="{00000000-0006-0000-0100-000040000000}">
      <text>
        <r>
          <rPr>
            <sz val="9"/>
            <color rgb="FF000000"/>
            <rFont val="Tahoma"/>
            <family val="2"/>
            <charset val="1"/>
          </rPr>
          <t>Informar o consumo de óleo da transmissão a cada 1000km</t>
        </r>
      </text>
    </comment>
    <comment ref="D247" authorId="0" shapeId="0" xr:uid="{00000000-0006-0000-0100-000041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da transmissão
</t>
        </r>
      </text>
    </comment>
    <comment ref="C249" authorId="0" shapeId="0" xr:uid="{00000000-0006-0000-0100-000042000000}">
      <text>
        <r>
          <rPr>
            <sz val="9"/>
            <color rgb="FF000000"/>
            <rFont val="Tahoma"/>
            <family val="2"/>
            <charset val="1"/>
          </rPr>
          <t>Informar o consumo de óleo hidráulico a cada 1000km</t>
        </r>
      </text>
    </comment>
    <comment ref="D249" authorId="0" shapeId="0" xr:uid="{00000000-0006-0000-0100-000043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do óleo hidráulico
</t>
        </r>
      </text>
    </comment>
    <comment ref="C251" authorId="0" shapeId="0" xr:uid="{00000000-0006-0000-0100-000044000000}">
      <text>
        <r>
          <rPr>
            <sz val="9"/>
            <color rgb="FF000000"/>
            <rFont val="Tahoma"/>
            <family val="2"/>
            <charset val="1"/>
          </rPr>
          <t>Informar o consumo de graxa a cada 1000km</t>
        </r>
      </text>
    </comment>
    <comment ref="D251" authorId="0" shapeId="0" xr:uid="{00000000-0006-0000-0100-000045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da graxa
</t>
        </r>
      </text>
    </comment>
    <comment ref="C253" authorId="0" shapeId="0" xr:uid="{00000000-0006-0000-0100-000046000000}">
      <text>
        <r>
          <rPr>
            <sz val="9"/>
            <color rgb="FF000000"/>
            <rFont val="Tahoma"/>
            <family val="2"/>
            <charset val="1"/>
          </rPr>
          <t>Informar o consumo de graxa a cada 1000km</t>
        </r>
      </text>
    </comment>
    <comment ref="D253" authorId="0" shapeId="0" xr:uid="{00000000-0006-0000-0100-000047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do litro da graxa
</t>
        </r>
      </text>
    </comment>
    <comment ref="D260" authorId="0" shapeId="0" xr:uid="{00000000-0006-0000-0100-000048000000}">
      <text>
        <r>
          <rPr>
            <sz val="9"/>
            <color rgb="FF000000"/>
            <rFont val="Tahoma"/>
            <family val="2"/>
            <charset val="1"/>
          </rPr>
          <t xml:space="preserve">Informar o custo de manutenção em R$/km rodado
</t>
        </r>
      </text>
    </comment>
    <comment ref="D261" authorId="0" shapeId="0" xr:uid="{00000000-0006-0000-0100-000049000000}">
      <text>
        <r>
          <rPr>
            <sz val="9"/>
            <color rgb="FF000000"/>
            <rFont val="Tahoma"/>
            <family val="2"/>
            <charset val="1"/>
          </rPr>
          <t xml:space="preserve">Informar o custo de manutenção em R$/km rodado
</t>
        </r>
      </text>
    </comment>
    <comment ref="C266" authorId="0" shapeId="0" xr:uid="{00000000-0006-0000-0100-00004A000000}">
      <text>
        <r>
          <rPr>
            <sz val="9"/>
            <color rgb="FF000000"/>
            <rFont val="Tahoma"/>
            <family val="2"/>
            <charset val="1"/>
          </rPr>
          <t>Informar a quantidade de pneus novos de 1 caminhão</t>
        </r>
      </text>
    </comment>
    <comment ref="D266" authorId="0" shapeId="0" xr:uid="{00000000-0006-0000-0100-00004B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pneu
</t>
        </r>
      </text>
    </comment>
    <comment ref="C267" authorId="0" shapeId="0" xr:uid="{00000000-0006-0000-0100-00004C000000}">
      <text>
        <r>
          <rPr>
            <sz val="9"/>
            <color rgb="FF000000"/>
            <rFont val="Tahoma"/>
            <family val="2"/>
            <charset val="1"/>
          </rPr>
          <t>Informar o número de recapagens por pneu</t>
        </r>
      </text>
    </comment>
    <comment ref="D268" authorId="0" shapeId="0" xr:uid="{00000000-0006-0000-0100-00004D000000}">
      <text>
        <r>
          <rPr>
            <sz val="9"/>
            <color rgb="FF000000"/>
            <rFont val="Tahoma"/>
            <family val="2"/>
            <charset val="1"/>
          </rPr>
          <t xml:space="preserve">Informar o preço unitário de cada recapagem
</t>
        </r>
      </text>
    </comment>
    <comment ref="C269" authorId="0" shapeId="0" xr:uid="{00000000-0006-0000-0100-00004E000000}">
      <text>
        <r>
          <rPr>
            <sz val="9"/>
            <color rgb="FF000000"/>
            <rFont val="Tahoma"/>
            <family val="2"/>
            <charset val="1"/>
          </rPr>
          <t xml:space="preserve">Informar a durabilidade média dos pneus considerando as recapagens, em km
</t>
        </r>
      </text>
    </comment>
    <comment ref="C278" authorId="0" shapeId="0" xr:uid="{00000000-0006-0000-0100-00004F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 shapeId="0" xr:uid="{00000000-0006-0000-0100-000050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79" authorId="0" shapeId="0" xr:uid="{00000000-0006-0000-0100-000051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9" authorId="0" shapeId="0" xr:uid="{00000000-0006-0000-0100-000052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80" authorId="0" shapeId="0" xr:uid="{00000000-0006-0000-0100-000053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80" authorId="0" shapeId="0" xr:uid="{00000000-0006-0000-0100-000054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C283" authorId="0" shapeId="0" xr:uid="{00000000-0006-0000-0100-000055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83" authorId="0" shapeId="0" xr:uid="{00000000-0006-0000-0100-000056000000}">
      <text>
        <r>
          <rPr>
            <sz val="9"/>
            <color rgb="FF000000"/>
            <rFont val="Tahoma"/>
            <family val="2"/>
            <charset val="1"/>
          </rPr>
          <t>Informar o valor unitário estimado para aquisição de cada material</t>
        </r>
      </text>
    </comment>
    <comment ref="A288" authorId="0" shapeId="0" xr:uid="{00000000-0006-0000-0100-000057000000}">
      <text>
        <r>
          <rPr>
            <b/>
            <sz val="9"/>
            <color rgb="FF000000"/>
            <rFont val="Tahoma"/>
            <family val="2"/>
            <charset val="1"/>
          </rPr>
          <t xml:space="preserve">Especificar somente quando for exigido no Projeto Básico
</t>
        </r>
      </text>
    </comment>
    <comment ref="D291" authorId="0" shapeId="0" xr:uid="{00000000-0006-0000-0100-000058000000}">
      <text>
        <r>
          <rPr>
            <sz val="9"/>
            <color rgb="FF000000"/>
            <rFont val="Tahoma"/>
            <family val="2"/>
            <charset val="1"/>
          </rPr>
          <t>Informar o valor total para instalação do equipamento de monitoramento da frota, se houver previsão no Projeto Básico</t>
        </r>
      </text>
    </comment>
    <comment ref="D293" authorId="0" shapeId="0" xr:uid="{00000000-0006-0000-0100-000059000000}">
      <text>
        <r>
          <rPr>
            <sz val="9"/>
            <color rgb="FF000000"/>
            <rFont val="Tahoma"/>
            <family val="2"/>
            <charset val="1"/>
          </rPr>
          <t>Informar o valor unitário mensal para manutenção dos equipamentos de monitoramento</t>
        </r>
      </text>
    </comment>
    <comment ref="C304" authorId="0" shapeId="0" xr:uid="{00000000-0006-0000-0100-00005A000000}">
      <text>
        <r>
          <rPr>
            <sz val="9"/>
            <color rgb="FF000000"/>
            <rFont val="Tahoma"/>
            <family val="2"/>
            <charset val="1"/>
          </rPr>
          <t>Preencher a aba 4.BDI</t>
        </r>
      </text>
    </comment>
    <comment ref="D313" authorId="0" shapeId="0" xr:uid="{00000000-0006-0000-0100-00005B000000}">
      <text>
        <r>
          <rPr>
            <sz val="9"/>
            <color rgb="FF000000"/>
            <rFont val="Tahoma"/>
            <family val="2"/>
            <charset val="1"/>
          </rPr>
          <t xml:space="preserve">Informar a quantidade média coletada nos últimos 12 meses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6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Administração Central estimado
</t>
        </r>
      </text>
    </comment>
    <comment ref="C14" authorId="0" shapeId="0" xr:uid="{00000000-0006-0000-06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Seguros, Riscos e Garantia estimado
</t>
        </r>
      </text>
    </comment>
    <comment ref="C15" authorId="0" shapeId="0" xr:uid="{00000000-0006-0000-06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% de Lucro estimado
</t>
        </r>
      </text>
    </comment>
    <comment ref="E16" authorId="0" shapeId="0" xr:uid="{00000000-0006-0000-0600-000004000000}">
      <text>
        <r>
          <rPr>
            <b/>
            <sz val="9"/>
            <color rgb="FF000000"/>
            <rFont val="Tahoma"/>
            <family val="2"/>
            <charset val="1"/>
          </rPr>
          <t>Informar o valor anual da taxa financeira, em percentual. Admite-se utilizar a SELIC</t>
        </r>
      </text>
    </comment>
    <comment ref="C17" authorId="0" shapeId="0" xr:uid="{00000000-0006-0000-0600-000005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percentual de ISS, de acordo com a legislação tributária do município onde serão prestados os serviços. De 2% até o limite de 5%.
</t>
        </r>
      </text>
    </comment>
    <comment ref="E17" authorId="0" shapeId="0" xr:uid="{00000000-0006-0000-0600-000006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a média de dias úteis entre data de pagamento prevista no contrato e a data final do período de adimplemento da parcela
</t>
        </r>
      </text>
    </comment>
    <comment ref="C18" authorId="0" shapeId="0" xr:uid="{00000000-0006-0000-06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<sst xmlns="http://schemas.openxmlformats.org/spreadsheetml/2006/main" count="1474" uniqueCount="462">
  <si>
    <t>Orientações para preenchimento: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</si>
  <si>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</si>
  <si>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</si>
  <si>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2. Antes de preenchê-la, leia a Orientação Técnica - Serviço de coleta de resíduos sólidos domiciliares</t>
  </si>
  <si>
    <t>3. Preencher somente células em amarelo</t>
  </si>
  <si>
    <t>4. As células azuis deverão ter seus valores preenchidos em outra planilha do arquivo.</t>
  </si>
  <si>
    <t>O TCE/RS não se responsabiliza pelo uso incorreto desta planilha.</t>
  </si>
  <si>
    <t>O orçamento deve ser realizado por responsável técnico habilitado e é de responsabilidade do seu autor.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</si>
  <si>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</si>
  <si>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</si>
  <si>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</si>
  <si>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</si>
  <si>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</si>
  <si>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</si>
  <si>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</si>
  <si>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</si>
  <si>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</si>
  <si>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</si>
  <si>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</si>
  <si>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</si>
  <si>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</si>
  <si>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</si>
  <si>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</si>
  <si>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</si>
  <si>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</si>
  <si>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</si>
  <si>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</si>
  <si>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</si>
  <si>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</si>
  <si>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Horas Extras (100%)</t>
  </si>
  <si>
    <t>hora</t>
  </si>
  <si>
    <t>Excluir esta linha caso a contratação não tenha previsão de horas extras 100% explícita no edital</t>
  </si>
  <si>
    <t>Horas Extras (50%)</t>
  </si>
  <si>
    <t>Excluir esta linha caso a contratação não tenha previsão de horas extras 50% explícita no edital</t>
  </si>
  <si>
    <t>Descanso Semanal Remunerado (DSR) - hora extra</t>
  </si>
  <si>
    <t>R$</t>
  </si>
  <si>
    <t>Excluir esta linha caso a contratação não tenha previsão de horas extras explícita no edital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</si>
  <si>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</si>
  <si>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</si>
  <si>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</si>
  <si>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</si>
  <si>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</si>
  <si>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</si>
  <si>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</si>
  <si>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 xml:space="preserve">1.2. Supervisor dos serviços </t>
  </si>
  <si>
    <t>Adicional Noturno</t>
  </si>
  <si>
    <t>horas trabalhadas</t>
  </si>
  <si>
    <t>hora contabilizada</t>
  </si>
  <si>
    <t>Horas Extras Noturnas (100%)</t>
  </si>
  <si>
    <t>Excluir esta linha caso a contratação não tenha previsão de horas extras noturnas 100% explícita no edital</t>
  </si>
  <si>
    <t>Horas Extras Noturnas (50%)</t>
  </si>
  <si>
    <t>Excluir esta linha caso a contratação não tenha previsão de horas extras noturnas 50% explícita no edital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</si>
  <si>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</si>
  <si>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</si>
  <si>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</si>
  <si>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</si>
  <si>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</si>
  <si>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 xml:space="preserve">1.4. Operador de Máquinas </t>
  </si>
  <si>
    <t>Vale Transporte</t>
  </si>
  <si>
    <t>Dias Trabalhados por mês</t>
  </si>
  <si>
    <t>dia</t>
  </si>
  <si>
    <t>Coletor</t>
  </si>
  <si>
    <t>vale</t>
  </si>
  <si>
    <t>unidade</t>
  </si>
  <si>
    <t>Encarregado</t>
  </si>
  <si>
    <t>Fator de util.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</si>
  <si>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</si>
  <si>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</si>
  <si>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</si>
  <si>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</si>
  <si>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</si>
  <si>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</si>
  <si>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</si>
  <si>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</si>
  <si>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</si>
  <si>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</si>
  <si>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</si>
  <si>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</si>
  <si>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Colete reflexivo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</si>
  <si>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</si>
  <si>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</si>
  <si>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</si>
  <si>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</si>
  <si>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</si>
  <si>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</si>
  <si>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t>Custo Mensal com Uniformes e EPIs (R$/mês)</t>
  </si>
  <si>
    <t>3. Veículos e Equipamentos</t>
  </si>
  <si>
    <t>3.1.1. Depreciação</t>
  </si>
  <si>
    <t>Vida útil do chassis</t>
  </si>
  <si>
    <t>anos</t>
  </si>
  <si>
    <t>Idade do veículo</t>
  </si>
  <si>
    <t>Depreciação do chassis</t>
  </si>
  <si>
    <t>Depreciação mensal veículos coletores</t>
  </si>
  <si>
    <t>Idade do chassis</t>
  </si>
  <si>
    <t>Depreciação mensal do chassis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</si>
  <si>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</si>
  <si>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</si>
  <si>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</si>
  <si>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</si>
  <si>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</si>
  <si>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</si>
  <si>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</si>
  <si>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</si>
  <si>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 xml:space="preserve">Investimento médio total </t>
  </si>
  <si>
    <t xml:space="preserve">Total geral dos veículos 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</si>
  <si>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</si>
  <si>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</si>
  <si>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</si>
  <si>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</si>
  <si>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</si>
  <si>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</si>
  <si>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</si>
  <si>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</si>
  <si>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t>Custo de óleo diesel / km rodado</t>
  </si>
  <si>
    <t>km/l</t>
  </si>
  <si>
    <t>Custo mensal com óleo diesel</t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</si>
  <si>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</si>
  <si>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</si>
  <si>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</si>
  <si>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</si>
  <si>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</si>
  <si>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</si>
  <si>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</si>
  <si>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</si>
  <si>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</si>
  <si>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</si>
  <si>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</si>
  <si>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l/hora</t>
  </si>
  <si>
    <t>horas</t>
  </si>
  <si>
    <t>Custo total com consumos</t>
  </si>
  <si>
    <t>3.1.5. Manutenção</t>
  </si>
  <si>
    <t>Custo de manutenção dos caminhões</t>
  </si>
  <si>
    <t>R$/km rodado</t>
  </si>
  <si>
    <t>3.1.6. Pneus</t>
  </si>
  <si>
    <t xml:space="preserve">Custo do jogo de pneus </t>
  </si>
  <si>
    <t>Número de recapagens por pneu</t>
  </si>
  <si>
    <t>Custo de recapagem</t>
  </si>
  <si>
    <t>Custo jg. compl. + 2 recap./ km rodado</t>
  </si>
  <si>
    <t>km/jogo</t>
  </si>
  <si>
    <t>Custo mensal com pneus</t>
  </si>
  <si>
    <t>Custo Mensal com Veículos e Equipamentos (R$/mês)</t>
  </si>
  <si>
    <t>Recipiente térmico para água (5L)</t>
  </si>
  <si>
    <t>Pá de Concha</t>
  </si>
  <si>
    <t>Vassoura</t>
  </si>
  <si>
    <t>Publicidade (adesivos veículos)</t>
  </si>
  <si>
    <t>cj</t>
  </si>
  <si>
    <t>Custo Mensal com Ferramentas e Materiais de Consumo (R$/mês)</t>
  </si>
  <si>
    <t xml:space="preserve">5. Monitoramento da frota  </t>
  </si>
  <si>
    <t>Implantação dos equipamentos de monitoramento</t>
  </si>
  <si>
    <t>Custo mensal com implantação</t>
  </si>
  <si>
    <t>Custo mensal com manutenção</t>
  </si>
  <si>
    <t xml:space="preserve">Veículo </t>
  </si>
  <si>
    <t>Custo Mensal com Monitoramento da Frota (R$/mês)</t>
  </si>
  <si>
    <t>CUSTO TOTAL MENSAL COM DESPESAS OPERACIONAIS (R$/mês)</t>
  </si>
  <si>
    <t>5. Benefícios e Despesas Indiretas - BDI</t>
  </si>
  <si>
    <t>Benefícios e despesas indiretas</t>
  </si>
  <si>
    <t>CUSTO MENSAL COM BDI (R$/mês)</t>
  </si>
  <si>
    <t>PREÇO MENSAL TOTAL (R$/mês)</t>
  </si>
  <si>
    <t xml:space="preserve">Quantidade média de materiais descartados coletados por mês: </t>
  </si>
  <si>
    <t>M³</t>
  </si>
  <si>
    <t>PREÇO POR METRO CÚBICO COLETADA:  [A/B]</t>
  </si>
  <si>
    <t>R$/M³</t>
  </si>
  <si>
    <t xml:space="preserve">Ordem </t>
  </si>
  <si>
    <t xml:space="preserve">Descrição </t>
  </si>
  <si>
    <t xml:space="preserve">PO R$ </t>
  </si>
  <si>
    <t>Total Geral</t>
  </si>
  <si>
    <t>Resumo</t>
  </si>
  <si>
    <t>Lucro</t>
  </si>
  <si>
    <t xml:space="preserve">Admin. </t>
  </si>
  <si>
    <t>Encargos Soc.</t>
  </si>
  <si>
    <t xml:space="preserve">Total % </t>
  </si>
  <si>
    <t>Total Margem</t>
  </si>
  <si>
    <t>1. Preencha previamente os dados de entrada na planilha 3.CAGED</t>
  </si>
  <si>
    <t xml:space="preserve">O orçamento deve ser realizado por responsável técnico habilitado e </t>
  </si>
  <si>
    <t>é de responsabilidade do seu autor.</t>
  </si>
  <si>
    <t xml:space="preserve">3.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</si>
  <si>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</si>
  <si>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</si>
  <si>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</si>
  <si>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</si>
  <si>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</si>
  <si>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</si>
  <si>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</si>
  <si>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</si>
  <si>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</si>
  <si>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</si>
  <si>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</si>
  <si>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</si>
  <si>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</si>
  <si>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</si>
  <si>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</si>
  <si>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</si>
  <si>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</si>
  <si>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</si>
  <si>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</si>
  <si>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</si>
  <si>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</si>
  <si>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</si>
  <si>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</si>
  <si>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</si>
  <si>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</si>
  <si>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</si>
  <si>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</si>
  <si>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</si>
  <si>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</si>
  <si>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</si>
  <si>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</si>
  <si>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</si>
  <si>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</si>
  <si>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</si>
  <si>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</si>
  <si>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</si>
  <si>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</si>
  <si>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</si>
  <si>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</si>
  <si>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</si>
  <si>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</si>
  <si>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</si>
  <si>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</si>
  <si>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</si>
  <si>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</si>
  <si>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</si>
  <si>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</si>
  <si>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</si>
  <si>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</si>
  <si>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</si>
  <si>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</si>
  <si>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</si>
  <si>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</si>
  <si>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</si>
  <si>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 DOS EMPREGADOS NO SETOR DE COLETA DE RSU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</si>
  <si>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</si>
  <si>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</si>
  <si>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</si>
  <si>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</si>
  <si>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</si>
  <si>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</si>
  <si>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6. Preencha as células em amarelo</t>
  </si>
  <si>
    <t>4.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</si>
  <si>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</si>
  <si>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</si>
  <si>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</si>
  <si>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</si>
  <si>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</si>
  <si>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</si>
  <si>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</si>
  <si>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</si>
  <si>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</si>
  <si>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</si>
  <si>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</si>
  <si>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</si>
  <si>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</si>
  <si>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</si>
  <si>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</si>
  <si>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</si>
  <si>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</si>
  <si>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</si>
  <si>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</si>
  <si>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</si>
  <si>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</si>
  <si>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</si>
  <si>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</si>
  <si>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</si>
  <si>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</si>
  <si>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</si>
  <si>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</si>
  <si>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1. Esta planilha é somente um modelo-base e deve ser ajustada conforme cada caso concreto.</t>
  </si>
  <si>
    <t>2. Preencher somente células em amarelo</t>
  </si>
  <si>
    <t xml:space="preserve">O orçamento deve ser realizado por responsável técnico habilitado e é </t>
  </si>
  <si>
    <t>de responsabilidade do seu autor.</t>
  </si>
  <si>
    <t>5.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</si>
  <si>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</si>
  <si>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</si>
  <si>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</si>
  <si>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</si>
  <si>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</si>
  <si>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</si>
  <si>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</si>
  <si>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</si>
  <si>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</t>
  </si>
  <si>
    <t>Despesas Financeiras</t>
  </si>
  <si>
    <t>DF</t>
  </si>
  <si>
    <t>i</t>
  </si>
  <si>
    <t>Tributos - ISS</t>
  </si>
  <si>
    <t>T</t>
  </si>
  <si>
    <t>DU</t>
  </si>
  <si>
    <t>Tributos - PIS/COFINS/ e CPP se houver</t>
  </si>
  <si>
    <t>Fórmula para o cálculo do BDI:</t>
  </si>
  <si>
    <t>{[(1+AC+SRG) x (1+L) x (1+DF)] / (1-T)} -1</t>
  </si>
  <si>
    <t>Resultado do cálculo do BDI:</t>
  </si>
  <si>
    <t>Valores R$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</si>
  <si>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</si>
  <si>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</si>
  <si>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</si>
  <si>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</si>
  <si>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</si>
  <si>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</si>
  <si>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</si>
  <si>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</si>
  <si>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</si>
  <si>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</si>
  <si>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</si>
  <si>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</si>
  <si>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Total geral de horas base mês com (DSR)</t>
  </si>
  <si>
    <t xml:space="preserve">Fator de utilização </t>
  </si>
  <si>
    <t>6. Depreciação Referencial TCE/RS (%)</t>
  </si>
  <si>
    <t>Idade do veículo (ano)</t>
  </si>
  <si>
    <t>Depreciação Média</t>
  </si>
  <si>
    <t>7. Remuneração de Capital</t>
  </si>
  <si>
    <t>Fórmula de cálculo da remuneração de capital:</t>
  </si>
  <si>
    <r>
      <rPr>
        <sz val="12"/>
        <color rgb="FF000000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</si>
  <si>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</si>
  <si>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</si>
  <si>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rgb="FF000000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</si>
  <si>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rgb="FF000000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</si>
  <si>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</si>
  <si>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 xml:space="preserve">Obs1: salário mínimo nacional previsto em R$1.100,00 para 2021.  </t>
  </si>
  <si>
    <t xml:space="preserve">Custo de aquisição do chassis </t>
  </si>
  <si>
    <t xml:space="preserve">Total geral </t>
  </si>
  <si>
    <t xml:space="preserve">4. Ferramentas e materiais e Destino Final materiais </t>
  </si>
  <si>
    <t xml:space="preserve">Destino final materiais </t>
  </si>
  <si>
    <t xml:space="preserve">Ton </t>
  </si>
  <si>
    <t>Previsão de Toneladas coletadas e enviadas ao destino final</t>
  </si>
  <si>
    <t xml:space="preserve">Coleta Mensal Tonel. </t>
  </si>
  <si>
    <t xml:space="preserve">Ton/ano </t>
  </si>
  <si>
    <t xml:space="preserve">Total Geral Ton/ano </t>
  </si>
  <si>
    <t>ANEXO .... – PLANILHA DE CUSTOS</t>
  </si>
  <si>
    <t xml:space="preserve">Custo de óleo diesel / horas trabalhada retroescavadeira </t>
  </si>
  <si>
    <t>Valor da Retroescavadeira proposta (V0)</t>
  </si>
  <si>
    <t xml:space="preserve">Pesagem dos caminhões </t>
  </si>
  <si>
    <t xml:space="preserve">Unidade </t>
  </si>
  <si>
    <t>Motorista</t>
  </si>
  <si>
    <t xml:space="preserve">Custo de aquisição Gaiola </t>
  </si>
  <si>
    <t>Obs: Considerado 2 horas semanais</t>
  </si>
  <si>
    <t>ROTAS DE COLETA</t>
  </si>
  <si>
    <t xml:space="preserve"> TOTAL = ROTAS DE COLETA + TRANSPORTE </t>
  </si>
  <si>
    <t xml:space="preserve">TOTAL MENSAL = ROTAS DE COLETA + TRANSPORTE </t>
  </si>
  <si>
    <t>Locais de coleta: Área urbana da cidade</t>
  </si>
  <si>
    <t>Coleta Rota 1</t>
  </si>
  <si>
    <t>Rota</t>
  </si>
  <si>
    <t>Dias da semana</t>
  </si>
  <si>
    <t>Distância: Coleta +  Transporte</t>
  </si>
  <si>
    <t>Und.</t>
  </si>
  <si>
    <t>Trecho</t>
  </si>
  <si>
    <t>Cor Linha</t>
  </si>
  <si>
    <t>Ponto a Ponto</t>
  </si>
  <si>
    <t>Distância</t>
  </si>
  <si>
    <t>Unid</t>
  </si>
  <si>
    <t>Trecho 01</t>
  </si>
  <si>
    <t>1 - 2</t>
  </si>
  <si>
    <t>m</t>
  </si>
  <si>
    <t>Rota 1</t>
  </si>
  <si>
    <t>x</t>
  </si>
  <si>
    <t>Trecho 02</t>
  </si>
  <si>
    <t>2 - 3</t>
  </si>
  <si>
    <t>Trecho 03</t>
  </si>
  <si>
    <t>3 - 4</t>
  </si>
  <si>
    <t>Km</t>
  </si>
  <si>
    <t>Trecho 04</t>
  </si>
  <si>
    <t>4 - 5</t>
  </si>
  <si>
    <t>Distância total diária:</t>
  </si>
  <si>
    <t>Total Mensal</t>
  </si>
  <si>
    <t>Trecho 05</t>
  </si>
  <si>
    <t>5 - 6</t>
  </si>
  <si>
    <t>Trecho 06</t>
  </si>
  <si>
    <t>6 - 7</t>
  </si>
  <si>
    <t>Trecho 07</t>
  </si>
  <si>
    <t>7 - 8</t>
  </si>
  <si>
    <t>Coleta Rota 2</t>
  </si>
  <si>
    <t>Trecho 08</t>
  </si>
  <si>
    <t>8 - 9</t>
  </si>
  <si>
    <t>Trecho 09</t>
  </si>
  <si>
    <t>9 - 10</t>
  </si>
  <si>
    <t>Distância total da Rota:</t>
  </si>
  <si>
    <t>Rota 2</t>
  </si>
  <si>
    <t xml:space="preserve">Coleta </t>
  </si>
  <si>
    <t>Horas/dia</t>
  </si>
  <si>
    <t>Hrs/se-mana</t>
  </si>
  <si>
    <t>Volumosos</t>
  </si>
  <si>
    <t xml:space="preserve">Coletor </t>
  </si>
  <si>
    <t>Vegetais</t>
  </si>
  <si>
    <t xml:space="preserve">Total de horas por coletor </t>
  </si>
  <si>
    <t xml:space="preserve">Total de horas </t>
  </si>
  <si>
    <t xml:space="preserve">Máscara de proteção respiratória </t>
  </si>
  <si>
    <t>Custo de aquisição do chassis</t>
  </si>
  <si>
    <t xml:space="preserve">Remuneração mensal de capital </t>
  </si>
  <si>
    <t>Veículo Reserva 10%</t>
  </si>
  <si>
    <t xml:space="preserve">3.1. Veículo Coletor com caçamba/gaiola  </t>
  </si>
  <si>
    <t>Obs: Salário do motorista conforme Convenção Coletiva (Sinecarga 2020/2021)</t>
  </si>
  <si>
    <t xml:space="preserve">3.1. Veículo Coletor com caçamba/gaiola </t>
  </si>
  <si>
    <t xml:space="preserve">Custo de aquisição </t>
  </si>
  <si>
    <t xml:space="preserve">Item </t>
  </si>
  <si>
    <t>Resíduos Vegetais</t>
  </si>
  <si>
    <t>Materiais Volumosos</t>
  </si>
  <si>
    <t xml:space="preserve">Coleta de Resíduos Vegetais </t>
  </si>
  <si>
    <t>Terça Quinzenal</t>
  </si>
  <si>
    <t>Quarta Quinzenal</t>
  </si>
  <si>
    <t xml:space="preserve">Cargo: Coletor e Motorista de resíduos Volumosos </t>
  </si>
  <si>
    <t xml:space="preserve">Cargo: Auxíliar Administrativo Eco Ponto </t>
  </si>
  <si>
    <t>Prefeitura Municipal de São José do Ouro</t>
  </si>
  <si>
    <t xml:space="preserve">1.1. Assistente administrativo </t>
  </si>
  <si>
    <r>
      <t xml:space="preserve">Total </t>
    </r>
    <r>
      <rPr>
        <b/>
        <u/>
        <sz val="9"/>
        <rFont val="Arial"/>
        <family val="2"/>
      </rPr>
      <t>(R$)</t>
    </r>
  </si>
  <si>
    <t xml:space="preserve">Total por funcionário </t>
  </si>
  <si>
    <t>1.2. Vale Transporte</t>
  </si>
  <si>
    <t xml:space="preserve">Assistente </t>
  </si>
  <si>
    <t>1.3. Auxílio Alimentação (mensal)</t>
  </si>
  <si>
    <t xml:space="preserve">1.4. Plano de Benefício Social  </t>
  </si>
  <si>
    <t xml:space="preserve">Plano de Benefício Social Assistente </t>
  </si>
  <si>
    <t>2.1. Uniformes e EPIs para demais categorias</t>
  </si>
  <si>
    <t xml:space="preserve">Máscara facial </t>
  </si>
  <si>
    <t xml:space="preserve">3. Administração Local </t>
  </si>
  <si>
    <t>Aluguel de um galpão mensal</t>
  </si>
  <si>
    <t>Custo com despesas de água/luz/fone</t>
  </si>
  <si>
    <t xml:space="preserve">Serviços de limpeza do galpão mensal </t>
  </si>
  <si>
    <t xml:space="preserve">Publicidade/Educação ambiental </t>
  </si>
  <si>
    <t xml:space="preserve">mês </t>
  </si>
  <si>
    <t>4. Benefícios e Despesas Indiretas - BDI</t>
  </si>
  <si>
    <t xml:space="preserve">Quantidade média de resíduos coletados por mês: </t>
  </si>
  <si>
    <t>toneladas</t>
  </si>
  <si>
    <t>Excluir esta linha caso a contratação seja por preço global mensal</t>
  </si>
  <si>
    <t>PREÇO POR TONELADA COLETADA:  [A/B]</t>
  </si>
  <si>
    <t>R$/tonelada</t>
  </si>
  <si>
    <t xml:space="preserve">Eco Ponto </t>
  </si>
  <si>
    <t xml:space="preserve">Coleta Volumosos </t>
  </si>
  <si>
    <t xml:space="preserve">PREFEITURA MUNICIPAL DE SÃO JOSÉ DO OURO </t>
  </si>
  <si>
    <t xml:space="preserve">Resumo Custo Edital de Resíduos Vegetais e Volumosos </t>
  </si>
  <si>
    <t xml:space="preserve">Prefeitura Municipal de São José do Ouro </t>
  </si>
  <si>
    <t xml:space="preserve">1. Serviços de Coleta de Volumosos </t>
  </si>
  <si>
    <t>Botina, ou tenis adequado</t>
  </si>
  <si>
    <t xml:space="preserve">Obs: Convenção Coletiva (Sind. ASSEIO 2021). 20 horas semana.  </t>
  </si>
  <si>
    <t xml:space="preserve">Planilha com os horários dos funcionários coleta de resíduos de volumosos e vegetais </t>
  </si>
  <si>
    <t>Cargo: Coletor e Motorista de resíduos Vegetais</t>
  </si>
  <si>
    <t xml:space="preserve">Rota 1 </t>
  </si>
  <si>
    <t xml:space="preserve">Resumo do Percurso - Coleta de Resíduos - Galhos de Poda   </t>
  </si>
  <si>
    <t xml:space="preserve">Total dos percursos Galhos de Poda   </t>
  </si>
  <si>
    <t>Nº. Coleta Mensal</t>
  </si>
  <si>
    <t xml:space="preserve">Garagem - Inicio da Rota </t>
  </si>
  <si>
    <t>verde</t>
  </si>
  <si>
    <t>Início da Rota - Final da Rota (Coleta)</t>
  </si>
  <si>
    <t>Terça - 1ª e 3ª semana do mês</t>
  </si>
  <si>
    <t>vermelho</t>
  </si>
  <si>
    <t>Final da rota - Central de Triagem</t>
  </si>
  <si>
    <t>azul</t>
  </si>
  <si>
    <t>Viajens extras até o Central de Triagem (5 x 4 km)</t>
  </si>
  <si>
    <t>amarelo</t>
  </si>
  <si>
    <t>majenta</t>
  </si>
  <si>
    <t>verde escuro</t>
  </si>
  <si>
    <t xml:space="preserve">Total dos percursos Materiais Recicláveis </t>
  </si>
  <si>
    <t>azul claro</t>
  </si>
  <si>
    <t xml:space="preserve">Resumo do Percurso - Coleta de Resíduos - Materiais Recicláveis   </t>
  </si>
  <si>
    <t>laranja</t>
  </si>
  <si>
    <t>roxo</t>
  </si>
  <si>
    <t>Quarta - 1ª e 3ª semana do mês</t>
  </si>
  <si>
    <t>2. Serviços de Coleta de Resíduos Vegetais</t>
  </si>
  <si>
    <t xml:space="preserve">3. Implantação de Eco Ponto Para Recebimento de Materiais </t>
  </si>
  <si>
    <t xml:space="preserve">Toneladas de resíduos vegetais e volumosos </t>
  </si>
  <si>
    <t>Período: (base 2021)</t>
  </si>
  <si>
    <t>Periodicidade: Terças-feiras e quartas-feiras</t>
  </si>
  <si>
    <t>1.4. Vale Transporte</t>
  </si>
  <si>
    <t>1.5. Vale-refeição (diário)</t>
  </si>
  <si>
    <t>1.6. Auxílio Alimentação (mensal)</t>
  </si>
  <si>
    <t xml:space="preserve">1.7. Plano de Benefício Social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</si>
</sst>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_-* #,##0.00_-;\-* #,##0.00_-;_-* \-??_-;_-@_-"/>
    <numFmt numFmtId="166" formatCode="_(* #,##0.00_);_(* \(#,##0.00\);_(* \-??_);_(@_)"/>
    <numFmt numFmtId="167" formatCode="_ * #,##0.00_ ;_ * \-#,##0.00_ ;_ * \-??_ ;_ @_ "/>
    <numFmt numFmtId="168" formatCode="&quot;R$ &quot;#,##0.00"/>
    <numFmt numFmtId="169" formatCode="&quot;R$ &quot;#,##0.00_);&quot;(R$ &quot;#,##0.00\)"/>
    <numFmt numFmtId="170" formatCode="_(* #,##0_);_(* \(#,##0\);_(* \-??_);_(@_)"/>
    <numFmt numFmtId="171" formatCode="_(* #,##0.0000_);_(* \(#,##0.0000\);_(* \-??_);_(@_)"/>
    <numFmt numFmtId="172" formatCode="_(* #,##0.000_);_(* \(#,##0.000\);_(* \-??_);_(@_)"/>
    <numFmt numFmtId="173" formatCode="0.0000"/>
    <numFmt numFmtId="174" formatCode="_(* #,##0.00_);_(* \(#,##0.00\);_(* &quot;-&quot;??_);_(@_)"/>
    <numFmt numFmtId="175" formatCode="0.0"/>
    <numFmt numFmtId="176" formatCode="_(* #,##0.0000_);_(* \(#,##0.0000\);_(* &quot;-&quot;??_);_(@_)"/>
    <numFmt numFmtId="177" formatCode="0.000"/>
    <numFmt numFmtId="178" formatCode="&quot;R$ &quot;#,##0.00_);\(&quot;R$ &quot;#,##0.00\)"/>
    <numFmt numFmtId="179" formatCode="_(* #,##0_);_(* \(#,##0\);_(* &quot;-&quot;??_);_(@_)"/>
    <numFmt numFmtId="180" formatCode="_-* #,##0.0_-;\-* #,##0.0_-;_-* &quot;-&quot;??_-;_-@_-"/>
    <numFmt numFmtId="181" formatCode="_ * #,##0.00_ ;_ * \-#,##0.00_ ;_ * &quot;-&quot;??_ ;_ @_ "/>
  </numFmts>
  <fonts count="4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0"/>
      <name val="Arial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DDD9C3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EEECE1"/>
      </patternFill>
    </fill>
    <fill>
      <patternFill patternType="solid">
        <fgColor rgb="FFDDD9C3"/>
        <bgColor rgb="FFD9D9D9"/>
      </patternFill>
    </fill>
    <fill>
      <patternFill patternType="solid">
        <fgColor rgb="FFEEECE1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7">
    <xf numFmtId="0" fontId="0" fillId="0" borderId="0"/>
    <xf numFmtId="166" fontId="29" fillId="0" borderId="0" applyBorder="0" applyProtection="0"/>
    <xf numFmtId="9" fontId="29" fillId="0" borderId="0" applyBorder="0" applyProtection="0"/>
    <xf numFmtId="0" fontId="15" fillId="0" borderId="0" applyBorder="0" applyProtection="0"/>
    <xf numFmtId="167" fontId="29" fillId="0" borderId="0" applyBorder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/>
    <xf numFmtId="165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0" fillId="0" borderId="0" applyFont="0" applyFill="0" applyBorder="0" applyAlignment="0" applyProtection="0"/>
    <xf numFmtId="165" fontId="30" fillId="0" borderId="0" applyFont="0" applyFill="0" applyBorder="0" applyAlignment="0" applyProtection="0"/>
  </cellStyleXfs>
  <cellXfs count="669">
    <xf numFmtId="0" fontId="0" fillId="0" borderId="0" xfId="0"/>
    <xf numFmtId="0" fontId="4" fillId="0" borderId="0" xfId="0" applyFont="1" applyAlignment="1">
      <alignment vertical="center"/>
    </xf>
    <xf numFmtId="166" fontId="4" fillId="0" borderId="0" xfId="1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Border="1" applyAlignment="1">
      <alignment vertical="center"/>
    </xf>
    <xf numFmtId="166" fontId="0" fillId="0" borderId="0" xfId="1" applyFont="1" applyBorder="1" applyAlignment="1" applyProtection="1">
      <alignment vertical="center"/>
    </xf>
    <xf numFmtId="4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6" fontId="9" fillId="0" borderId="0" xfId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166" fontId="0" fillId="0" borderId="4" xfId="1" applyFont="1" applyBorder="1" applyAlignment="1" applyProtection="1">
      <alignment vertical="center"/>
    </xf>
    <xf numFmtId="166" fontId="11" fillId="0" borderId="6" xfId="1" applyFont="1" applyBorder="1" applyAlignment="1" applyProtection="1">
      <alignment horizontal="center" vertical="center"/>
    </xf>
    <xf numFmtId="166" fontId="0" fillId="0" borderId="7" xfId="1" applyFont="1" applyBorder="1" applyAlignment="1" applyProtection="1">
      <alignment vertical="center"/>
    </xf>
    <xf numFmtId="166" fontId="11" fillId="0" borderId="7" xfId="1" applyFont="1" applyBorder="1" applyAlignment="1" applyProtection="1">
      <alignment vertical="center"/>
    </xf>
    <xf numFmtId="166" fontId="11" fillId="0" borderId="8" xfId="1" applyFont="1" applyBorder="1" applyAlignment="1" applyProtection="1">
      <alignment vertical="center"/>
    </xf>
    <xf numFmtId="166" fontId="11" fillId="0" borderId="9" xfId="1" applyFont="1" applyBorder="1" applyAlignment="1" applyProtection="1">
      <alignment horizontal="center" vertical="center"/>
    </xf>
    <xf numFmtId="166" fontId="11" fillId="0" borderId="10" xfId="1" applyFont="1" applyBorder="1" applyAlignment="1" applyProtection="1">
      <alignment vertical="center"/>
    </xf>
    <xf numFmtId="166" fontId="11" fillId="0" borderId="11" xfId="0" applyNumberFormat="1" applyFont="1" applyBorder="1" applyAlignment="1">
      <alignment vertical="center"/>
    </xf>
    <xf numFmtId="166" fontId="11" fillId="0" borderId="11" xfId="1" applyFont="1" applyBorder="1" applyAlignment="1" applyProtection="1">
      <alignment vertical="center"/>
    </xf>
    <xf numFmtId="168" fontId="11" fillId="0" borderId="12" xfId="0" applyNumberFormat="1" applyFont="1" applyBorder="1" applyAlignment="1">
      <alignment vertical="center"/>
    </xf>
    <xf numFmtId="10" fontId="11" fillId="0" borderId="13" xfId="2" applyNumberFormat="1" applyFont="1" applyBorder="1" applyAlignment="1" applyProtection="1">
      <alignment vertical="center"/>
    </xf>
    <xf numFmtId="166" fontId="11" fillId="0" borderId="0" xfId="1" applyFont="1" applyBorder="1" applyAlignment="1" applyProtection="1">
      <alignment vertical="center"/>
    </xf>
    <xf numFmtId="0" fontId="11" fillId="0" borderId="0" xfId="0" applyFont="1" applyAlignment="1">
      <alignment vertical="center"/>
    </xf>
    <xf numFmtId="166" fontId="0" fillId="0" borderId="10" xfId="1" applyFont="1" applyBorder="1" applyAlignment="1" applyProtection="1">
      <alignment vertical="center"/>
    </xf>
    <xf numFmtId="166" fontId="0" fillId="0" borderId="11" xfId="0" applyNumberFormat="1" applyBorder="1" applyAlignment="1">
      <alignment vertical="center"/>
    </xf>
    <xf numFmtId="166" fontId="0" fillId="0" borderId="11" xfId="1" applyFont="1" applyBorder="1" applyAlignment="1" applyProtection="1">
      <alignment vertical="center"/>
    </xf>
    <xf numFmtId="168" fontId="0" fillId="0" borderId="12" xfId="0" applyNumberFormat="1" applyBorder="1" applyAlignment="1">
      <alignment vertical="center"/>
    </xf>
    <xf numFmtId="10" fontId="0" fillId="0" borderId="13" xfId="2" applyNumberFormat="1" applyFont="1" applyBorder="1" applyAlignment="1" applyProtection="1">
      <alignment vertical="center"/>
    </xf>
    <xf numFmtId="166" fontId="11" fillId="0" borderId="10" xfId="1" applyFont="1" applyBorder="1" applyAlignment="1" applyProtection="1">
      <alignment horizontal="left" vertical="center"/>
    </xf>
    <xf numFmtId="4" fontId="11" fillId="0" borderId="11" xfId="0" applyNumberFormat="1" applyFont="1" applyBorder="1" applyAlignment="1">
      <alignment horizontal="center" vertical="center"/>
    </xf>
    <xf numFmtId="166" fontId="4" fillId="0" borderId="10" xfId="1" applyFont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0" fontId="4" fillId="0" borderId="13" xfId="2" applyNumberFormat="1" applyFont="1" applyBorder="1" applyAlignment="1" applyProtection="1">
      <alignment vertical="center"/>
    </xf>
    <xf numFmtId="168" fontId="11" fillId="0" borderId="14" xfId="0" applyNumberFormat="1" applyFont="1" applyBorder="1" applyAlignment="1">
      <alignment vertical="center"/>
    </xf>
    <xf numFmtId="166" fontId="11" fillId="0" borderId="15" xfId="1" applyFont="1" applyBorder="1" applyAlignment="1" applyProtection="1">
      <alignment horizontal="left" vertical="center"/>
    </xf>
    <xf numFmtId="4" fontId="11" fillId="0" borderId="16" xfId="0" applyNumberFormat="1" applyFont="1" applyBorder="1" applyAlignment="1">
      <alignment horizontal="center" vertical="center"/>
    </xf>
    <xf numFmtId="166" fontId="11" fillId="0" borderId="16" xfId="1" applyFont="1" applyBorder="1" applyAlignment="1" applyProtection="1">
      <alignment vertical="center"/>
    </xf>
    <xf numFmtId="169" fontId="11" fillId="0" borderId="17" xfId="0" applyNumberFormat="1" applyFont="1" applyBorder="1" applyAlignment="1">
      <alignment vertical="center"/>
    </xf>
    <xf numFmtId="9" fontId="11" fillId="0" borderId="18" xfId="2" applyFont="1" applyBorder="1" applyAlignment="1" applyProtection="1">
      <alignment vertical="center"/>
    </xf>
    <xf numFmtId="166" fontId="11" fillId="0" borderId="20" xfId="1" applyFont="1" applyBorder="1" applyAlignment="1" applyProtection="1">
      <alignment horizontal="right" vertical="center"/>
    </xf>
    <xf numFmtId="166" fontId="4" fillId="0" borderId="6" xfId="1" applyFont="1" applyBorder="1" applyAlignment="1" applyProtection="1">
      <alignment vertical="center"/>
    </xf>
    <xf numFmtId="166" fontId="4" fillId="0" borderId="7" xfId="1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4" fillId="0" borderId="9" xfId="1" applyNumberFormat="1" applyFont="1" applyBorder="1" applyAlignment="1" applyProtection="1">
      <alignment horizontal="center" vertical="center"/>
    </xf>
    <xf numFmtId="166" fontId="4" fillId="0" borderId="10" xfId="1" applyFont="1" applyBorder="1" applyAlignment="1" applyProtection="1">
      <alignment vertical="center"/>
    </xf>
    <xf numFmtId="166" fontId="4" fillId="0" borderId="11" xfId="1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1" fontId="4" fillId="0" borderId="21" xfId="1" applyNumberFormat="1" applyFont="1" applyBorder="1" applyAlignment="1" applyProtection="1">
      <alignment horizontal="center" vertical="center"/>
    </xf>
    <xf numFmtId="166" fontId="11" fillId="0" borderId="22" xfId="1" applyFont="1" applyBorder="1" applyAlignment="1" applyProtection="1">
      <alignment vertical="center"/>
    </xf>
    <xf numFmtId="4" fontId="11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1" fontId="11" fillId="0" borderId="24" xfId="1" applyNumberFormat="1" applyFont="1" applyBorder="1" applyAlignment="1" applyProtection="1">
      <alignment horizontal="center" vertical="center"/>
    </xf>
    <xf numFmtId="166" fontId="11" fillId="0" borderId="3" xfId="1" applyFont="1" applyBorder="1" applyAlignment="1" applyProtection="1">
      <alignment vertical="center"/>
    </xf>
    <xf numFmtId="4" fontId="11" fillId="0" borderId="0" xfId="0" applyNumberFormat="1" applyFont="1" applyBorder="1" applyAlignment="1">
      <alignment vertical="center"/>
    </xf>
    <xf numFmtId="166" fontId="4" fillId="0" borderId="4" xfId="1" applyFont="1" applyBorder="1" applyAlignment="1" applyProtection="1">
      <alignment vertical="center"/>
    </xf>
    <xf numFmtId="166" fontId="4" fillId="0" borderId="26" xfId="1" applyFont="1" applyBorder="1" applyAlignment="1" applyProtection="1">
      <alignment vertical="center"/>
    </xf>
    <xf numFmtId="166" fontId="4" fillId="0" borderId="27" xfId="1" applyFont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1" fontId="4" fillId="0" borderId="28" xfId="1" applyNumberFormat="1" applyFont="1" applyBorder="1" applyAlignment="1" applyProtection="1">
      <alignment horizontal="center" vertical="center"/>
    </xf>
    <xf numFmtId="1" fontId="4" fillId="0" borderId="0" xfId="1" applyNumberFormat="1" applyFont="1" applyBorder="1" applyAlignment="1" applyProtection="1">
      <alignment horizontal="center" vertical="center"/>
    </xf>
    <xf numFmtId="170" fontId="4" fillId="0" borderId="0" xfId="1" applyNumberFormat="1" applyFont="1" applyBorder="1" applyAlignment="1" applyProtection="1">
      <alignment horizontal="center" vertical="center"/>
    </xf>
    <xf numFmtId="166" fontId="11" fillId="0" borderId="15" xfId="1" applyFont="1" applyBorder="1" applyAlignment="1" applyProtection="1">
      <alignment vertical="center"/>
    </xf>
    <xf numFmtId="10" fontId="11" fillId="3" borderId="29" xfId="2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170" fontId="11" fillId="0" borderId="0" xfId="1" applyNumberFormat="1" applyFont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166" fontId="12" fillId="4" borderId="30" xfId="1" applyFont="1" applyFill="1" applyBorder="1" applyAlignment="1" applyProtection="1">
      <alignment horizontal="center" vertical="center"/>
    </xf>
    <xf numFmtId="166" fontId="12" fillId="4" borderId="18" xfId="1" applyFont="1" applyFill="1" applyBorder="1" applyAlignment="1" applyProtection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166" fontId="4" fillId="3" borderId="31" xfId="1" applyFont="1" applyFill="1" applyBorder="1" applyAlignment="1" applyProtection="1">
      <alignment horizontal="center" vertical="center"/>
    </xf>
    <xf numFmtId="166" fontId="4" fillId="0" borderId="31" xfId="1" applyFont="1" applyBorder="1" applyAlignment="1" applyProtection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166" fontId="4" fillId="0" borderId="12" xfId="1" applyFont="1" applyBorder="1" applyAlignment="1" applyProtection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6" fontId="11" fillId="0" borderId="0" xfId="1" applyFont="1" applyBorder="1" applyAlignment="1" applyProtection="1">
      <alignment horizontal="center" vertical="center"/>
    </xf>
    <xf numFmtId="166" fontId="11" fillId="0" borderId="32" xfId="1" applyFont="1" applyBorder="1" applyAlignment="1" applyProtection="1">
      <alignment horizontal="center" vertical="center"/>
    </xf>
    <xf numFmtId="166" fontId="4" fillId="5" borderId="12" xfId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66" fontId="4" fillId="0" borderId="0" xfId="1" applyFont="1" applyBorder="1" applyAlignment="1" applyProtection="1">
      <alignment horizontal="right" vertical="center"/>
    </xf>
    <xf numFmtId="171" fontId="4" fillId="0" borderId="12" xfId="1" applyNumberFormat="1" applyFont="1" applyBorder="1" applyAlignment="1" applyProtection="1">
      <alignment vertical="center"/>
    </xf>
    <xf numFmtId="166" fontId="11" fillId="4" borderId="29" xfId="1" applyFont="1" applyFill="1" applyBorder="1" applyAlignment="1" applyProtection="1">
      <alignment horizontal="center" vertical="center"/>
    </xf>
    <xf numFmtId="2" fontId="4" fillId="0" borderId="12" xfId="1" applyNumberFormat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1" fontId="4" fillId="3" borderId="12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166" fontId="11" fillId="0" borderId="12" xfId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/>
    </xf>
    <xf numFmtId="166" fontId="11" fillId="0" borderId="11" xfId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170" fontId="4" fillId="0" borderId="12" xfId="1" applyNumberFormat="1" applyFont="1" applyBorder="1" applyAlignment="1" applyProtection="1">
      <alignment horizontal="center" vertical="center"/>
    </xf>
    <xf numFmtId="166" fontId="4" fillId="3" borderId="0" xfId="1" applyFont="1" applyFill="1" applyBorder="1" applyAlignment="1" applyProtection="1">
      <alignment vertical="center"/>
    </xf>
    <xf numFmtId="0" fontId="4" fillId="3" borderId="0" xfId="0" applyFont="1" applyFill="1" applyAlignment="1">
      <alignment vertical="center"/>
    </xf>
    <xf numFmtId="170" fontId="4" fillId="0" borderId="12" xfId="1" applyNumberFormat="1" applyFont="1" applyBorder="1" applyAlignment="1" applyProtection="1">
      <alignment vertical="center"/>
    </xf>
    <xf numFmtId="166" fontId="11" fillId="4" borderId="5" xfId="1" applyFont="1" applyFill="1" applyBorder="1" applyAlignment="1" applyProtection="1">
      <alignment vertical="center"/>
    </xf>
    <xf numFmtId="166" fontId="4" fillId="3" borderId="12" xfId="1" applyFont="1" applyFill="1" applyBorder="1" applyAlignment="1" applyProtection="1">
      <alignment horizontal="center" vertical="center"/>
    </xf>
    <xf numFmtId="166" fontId="4" fillId="0" borderId="12" xfId="1" applyFont="1" applyBorder="1" applyAlignment="1" applyProtection="1">
      <alignment vertical="center"/>
    </xf>
    <xf numFmtId="171" fontId="4" fillId="0" borderId="0" xfId="1" applyNumberFormat="1" applyFont="1" applyBorder="1" applyAlignment="1" applyProtection="1">
      <alignment vertical="center"/>
    </xf>
    <xf numFmtId="1" fontId="4" fillId="0" borderId="12" xfId="1" applyNumberFormat="1" applyFont="1" applyBorder="1" applyAlignment="1" applyProtection="1">
      <alignment horizontal="center" vertical="center"/>
    </xf>
    <xf numFmtId="164" fontId="4" fillId="3" borderId="12" xfId="4" applyNumberFormat="1" applyFont="1" applyFill="1" applyBorder="1" applyAlignment="1" applyProtection="1">
      <alignment vertical="center"/>
    </xf>
    <xf numFmtId="164" fontId="4" fillId="3" borderId="12" xfId="4" applyNumberFormat="1" applyFont="1" applyFill="1" applyBorder="1" applyAlignment="1" applyProtection="1">
      <alignment horizontal="center" vertical="center"/>
    </xf>
    <xf numFmtId="0" fontId="14" fillId="0" borderId="33" xfId="0" applyFont="1" applyBorder="1" applyAlignment="1">
      <alignment vertical="center"/>
    </xf>
    <xf numFmtId="164" fontId="11" fillId="4" borderId="5" xfId="4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66" fontId="11" fillId="0" borderId="29" xfId="1" applyFont="1" applyBorder="1" applyAlignment="1" applyProtection="1">
      <alignment vertical="center"/>
    </xf>
    <xf numFmtId="0" fontId="12" fillId="4" borderId="30" xfId="0" applyFont="1" applyFill="1" applyBorder="1" applyAlignment="1">
      <alignment horizontal="center" vertical="center" wrapText="1"/>
    </xf>
    <xf numFmtId="13" fontId="4" fillId="3" borderId="12" xfId="0" applyNumberFormat="1" applyFont="1" applyFill="1" applyBorder="1" applyAlignment="1">
      <alignment vertical="center"/>
    </xf>
    <xf numFmtId="166" fontId="0" fillId="3" borderId="12" xfId="1" applyFont="1" applyFill="1" applyBorder="1" applyAlignment="1" applyProtection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66" fontId="4" fillId="0" borderId="0" xfId="1" applyFont="1" applyBorder="1" applyAlignment="1" applyProtection="1"/>
    <xf numFmtId="0" fontId="4" fillId="0" borderId="0" xfId="0" applyFont="1"/>
    <xf numFmtId="13" fontId="4" fillId="0" borderId="12" xfId="0" applyNumberFormat="1" applyFont="1" applyBorder="1" applyAlignment="1">
      <alignment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66" fontId="4" fillId="0" borderId="16" xfId="1" applyFont="1" applyBorder="1" applyAlignment="1" applyProtection="1">
      <alignment vertical="center"/>
    </xf>
    <xf numFmtId="166" fontId="4" fillId="0" borderId="29" xfId="1" applyFont="1" applyBorder="1" applyAlignment="1" applyProtection="1">
      <alignment vertical="center"/>
    </xf>
    <xf numFmtId="166" fontId="11" fillId="4" borderId="5" xfId="1" applyFont="1" applyFill="1" applyBorder="1" applyAlignment="1" applyProtection="1">
      <alignment horizontal="center" vertical="center"/>
    </xf>
    <xf numFmtId="0" fontId="15" fillId="0" borderId="0" xfId="3" applyBorder="1" applyAlignment="1" applyProtection="1">
      <alignment vertical="center"/>
    </xf>
    <xf numFmtId="0" fontId="4" fillId="0" borderId="31" xfId="0" applyFont="1" applyBorder="1" applyAlignment="1">
      <alignment horizontal="center" vertical="center"/>
    </xf>
    <xf numFmtId="166" fontId="4" fillId="0" borderId="0" xfId="1" applyFont="1" applyBorder="1" applyAlignment="1" applyProtection="1">
      <alignment horizontal="center" vertical="center"/>
    </xf>
    <xf numFmtId="165" fontId="4" fillId="0" borderId="0" xfId="0" applyNumberFormat="1" applyFont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166" fontId="11" fillId="0" borderId="34" xfId="1" applyFont="1" applyBorder="1" applyAlignment="1" applyProtection="1">
      <alignment horizontal="center" vertical="center"/>
    </xf>
    <xf numFmtId="166" fontId="4" fillId="5" borderId="12" xfId="1" applyFont="1" applyFill="1" applyBorder="1" applyAlignment="1" applyProtection="1">
      <alignment vertical="center"/>
    </xf>
    <xf numFmtId="0" fontId="11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166" fontId="12" fillId="4" borderId="35" xfId="1" applyFont="1" applyFill="1" applyBorder="1" applyAlignment="1" applyProtection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11" fillId="0" borderId="36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3" borderId="12" xfId="1" applyFont="1" applyFill="1" applyBorder="1" applyAlignment="1" applyProtection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3" borderId="12" xfId="0" applyNumberFormat="1" applyFont="1" applyFill="1" applyBorder="1" applyAlignment="1">
      <alignment vertical="center"/>
    </xf>
    <xf numFmtId="4" fontId="4" fillId="3" borderId="31" xfId="0" applyNumberFormat="1" applyFont="1" applyFill="1" applyBorder="1" applyAlignment="1">
      <alignment horizontal="center" vertical="center"/>
    </xf>
    <xf numFmtId="172" fontId="4" fillId="3" borderId="31" xfId="1" applyNumberFormat="1" applyFont="1" applyFill="1" applyBorder="1" applyAlignment="1" applyProtection="1">
      <alignment horizontal="center" vertical="center"/>
    </xf>
    <xf numFmtId="172" fontId="4" fillId="0" borderId="31" xfId="1" applyNumberFormat="1" applyFont="1" applyBorder="1" applyAlignment="1" applyProtection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2" fontId="4" fillId="0" borderId="12" xfId="1" applyNumberFormat="1" applyFont="1" applyBorder="1" applyAlignment="1" applyProtection="1">
      <alignment horizontal="center" vertical="center"/>
    </xf>
    <xf numFmtId="172" fontId="4" fillId="3" borderId="12" xfId="1" applyNumberFormat="1" applyFont="1" applyFill="1" applyBorder="1" applyAlignment="1" applyProtection="1">
      <alignment horizontal="center" vertical="center"/>
    </xf>
    <xf numFmtId="170" fontId="11" fillId="0" borderId="12" xfId="1" applyNumberFormat="1" applyFont="1" applyBorder="1" applyAlignment="1" applyProtection="1">
      <alignment horizontal="center" vertical="center"/>
    </xf>
    <xf numFmtId="172" fontId="11" fillId="0" borderId="12" xfId="1" applyNumberFormat="1" applyFont="1" applyBorder="1" applyAlignment="1" applyProtection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13" fontId="4" fillId="3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17" fillId="0" borderId="12" xfId="1" applyFont="1" applyBorder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166" fontId="11" fillId="4" borderId="5" xfId="1" applyFont="1" applyFill="1" applyBorder="1" applyAlignment="1" applyProtection="1">
      <alignment horizontal="center" vertical="center"/>
    </xf>
    <xf numFmtId="166" fontId="18" fillId="0" borderId="0" xfId="1" applyFont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6" fontId="5" fillId="0" borderId="0" xfId="1" applyFont="1" applyBorder="1" applyAlignment="1" applyProtection="1">
      <alignment vertical="center"/>
    </xf>
    <xf numFmtId="0" fontId="11" fillId="0" borderId="3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6" fontId="4" fillId="3" borderId="11" xfId="1" applyFont="1" applyFill="1" applyBorder="1" applyAlignment="1" applyProtection="1">
      <alignment vertical="center"/>
    </xf>
    <xf numFmtId="166" fontId="4" fillId="0" borderId="36" xfId="1" applyFont="1" applyBorder="1" applyAlignment="1" applyProtection="1">
      <alignment horizontal="center" vertical="center"/>
    </xf>
    <xf numFmtId="166" fontId="11" fillId="0" borderId="29" xfId="1" applyFont="1" applyBorder="1" applyAlignment="1" applyProtection="1">
      <alignment horizontal="right" vertical="center"/>
    </xf>
    <xf numFmtId="166" fontId="11" fillId="4" borderId="5" xfId="1" applyFont="1" applyFill="1" applyBorder="1" applyAlignment="1" applyProtection="1">
      <alignment horizontal="right" vertical="center"/>
    </xf>
    <xf numFmtId="10" fontId="11" fillId="0" borderId="0" xfId="2" applyNumberFormat="1" applyFont="1" applyBorder="1" applyAlignment="1" applyProtection="1">
      <alignment vertical="center"/>
    </xf>
    <xf numFmtId="0" fontId="11" fillId="0" borderId="0" xfId="0" applyFont="1"/>
    <xf numFmtId="0" fontId="1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6" fontId="4" fillId="0" borderId="12" xfId="1" applyFont="1" applyBorder="1" applyAlignment="1" applyProtection="1"/>
    <xf numFmtId="0" fontId="0" fillId="0" borderId="12" xfId="0" applyBorder="1"/>
    <xf numFmtId="166" fontId="0" fillId="0" borderId="12" xfId="1" applyFont="1" applyBorder="1" applyAlignment="1" applyProtection="1"/>
    <xf numFmtId="0" fontId="11" fillId="0" borderId="12" xfId="0" applyFont="1" applyBorder="1"/>
    <xf numFmtId="166" fontId="11" fillId="0" borderId="12" xfId="0" applyNumberFormat="1" applyFont="1" applyBorder="1"/>
    <xf numFmtId="166" fontId="11" fillId="0" borderId="12" xfId="1" applyFont="1" applyBorder="1" applyAlignment="1" applyProtection="1"/>
    <xf numFmtId="165" fontId="0" fillId="0" borderId="0" xfId="0" applyNumberFormat="1" applyBorder="1"/>
    <xf numFmtId="166" fontId="0" fillId="0" borderId="12" xfId="2" applyNumberFormat="1" applyFont="1" applyBorder="1" applyAlignment="1" applyProtection="1"/>
    <xf numFmtId="165" fontId="0" fillId="3" borderId="12" xfId="0" applyNumberFormat="1" applyFill="1" applyBorder="1"/>
    <xf numFmtId="0" fontId="4" fillId="3" borderId="12" xfId="0" applyFont="1" applyFill="1" applyBorder="1"/>
    <xf numFmtId="0" fontId="0" fillId="0" borderId="0" xfId="0" applyBorder="1"/>
    <xf numFmtId="165" fontId="11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21" fillId="0" borderId="39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10" fontId="21" fillId="0" borderId="2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0" fontId="22" fillId="0" borderId="21" xfId="0" applyNumberFormat="1" applyFont="1" applyBorder="1" applyAlignment="1">
      <alignment horizontal="right" vertical="center"/>
    </xf>
    <xf numFmtId="0" fontId="21" fillId="6" borderId="39" xfId="0" applyFont="1" applyFill="1" applyBorder="1" applyAlignment="1">
      <alignment horizontal="left" vertical="center"/>
    </xf>
    <xf numFmtId="0" fontId="22" fillId="6" borderId="12" xfId="0" applyFont="1" applyFill="1" applyBorder="1" applyAlignment="1">
      <alignment horizontal="left" vertical="center"/>
    </xf>
    <xf numFmtId="10" fontId="22" fillId="6" borderId="21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4" fillId="0" borderId="0" xfId="0" applyNumberFormat="1" applyFont="1"/>
    <xf numFmtId="9" fontId="21" fillId="0" borderId="0" xfId="2" applyFont="1" applyBorder="1" applyAlignment="1" applyProtection="1">
      <alignment horizontal="right" vertical="center"/>
    </xf>
    <xf numFmtId="10" fontId="4" fillId="0" borderId="0" xfId="0" applyNumberFormat="1" applyFont="1" applyBorder="1"/>
    <xf numFmtId="0" fontId="21" fillId="0" borderId="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1" fillId="7" borderId="40" xfId="0" applyFont="1" applyFill="1" applyBorder="1" applyAlignment="1">
      <alignment horizontal="left" vertical="center"/>
    </xf>
    <xf numFmtId="0" fontId="22" fillId="7" borderId="14" xfId="0" applyFont="1" applyFill="1" applyBorder="1" applyAlignment="1">
      <alignment horizontal="left" vertical="center"/>
    </xf>
    <xf numFmtId="10" fontId="22" fillId="7" borderId="28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10" fontId="22" fillId="0" borderId="0" xfId="0" applyNumberFormat="1" applyFont="1" applyBorder="1" applyAlignment="1">
      <alignment horizontal="right" vertical="center"/>
    </xf>
    <xf numFmtId="0" fontId="23" fillId="8" borderId="0" xfId="0" applyFont="1" applyFill="1" applyBorder="1" applyAlignment="1">
      <alignment horizontal="left" vertical="center"/>
    </xf>
    <xf numFmtId="10" fontId="21" fillId="0" borderId="0" xfId="0" applyNumberFormat="1" applyFont="1" applyBorder="1" applyAlignment="1">
      <alignment horizontal="right" vertical="center"/>
    </xf>
    <xf numFmtId="0" fontId="21" fillId="8" borderId="0" xfId="0" applyFont="1" applyFill="1" applyBorder="1" applyAlignment="1">
      <alignment horizontal="left" vertical="center"/>
    </xf>
    <xf numFmtId="0" fontId="24" fillId="0" borderId="0" xfId="0" applyFont="1"/>
    <xf numFmtId="0" fontId="22" fillId="0" borderId="10" xfId="0" applyFont="1" applyBorder="1"/>
    <xf numFmtId="0" fontId="9" fillId="0" borderId="13" xfId="0" applyFont="1" applyBorder="1"/>
    <xf numFmtId="0" fontId="22" fillId="0" borderId="41" xfId="0" applyFont="1" applyBorder="1"/>
    <xf numFmtId="0" fontId="22" fillId="3" borderId="21" xfId="0" applyFont="1" applyFill="1" applyBorder="1"/>
    <xf numFmtId="0" fontId="22" fillId="0" borderId="39" xfId="0" applyFont="1" applyBorder="1"/>
    <xf numFmtId="0" fontId="9" fillId="0" borderId="39" xfId="0" applyFont="1" applyBorder="1"/>
    <xf numFmtId="0" fontId="9" fillId="3" borderId="21" xfId="0" applyFont="1" applyFill="1" applyBorder="1"/>
    <xf numFmtId="0" fontId="9" fillId="0" borderId="41" xfId="0" applyFont="1" applyBorder="1"/>
    <xf numFmtId="0" fontId="9" fillId="3" borderId="42" xfId="0" applyFont="1" applyFill="1" applyBorder="1"/>
    <xf numFmtId="0" fontId="9" fillId="0" borderId="43" xfId="0" applyFont="1" applyBorder="1"/>
    <xf numFmtId="0" fontId="9" fillId="0" borderId="44" xfId="0" applyFont="1" applyBorder="1"/>
    <xf numFmtId="0" fontId="9" fillId="3" borderId="45" xfId="0" applyFont="1" applyFill="1" applyBorder="1"/>
    <xf numFmtId="0" fontId="9" fillId="0" borderId="21" xfId="0" applyFont="1" applyBorder="1"/>
    <xf numFmtId="0" fontId="9" fillId="0" borderId="3" xfId="0" applyFont="1" applyBorder="1"/>
    <xf numFmtId="0" fontId="9" fillId="0" borderId="4" xfId="0" applyFont="1" applyBorder="1"/>
    <xf numFmtId="0" fontId="10" fillId="0" borderId="42" xfId="0" applyFont="1" applyBorder="1"/>
    <xf numFmtId="10" fontId="22" fillId="0" borderId="21" xfId="2" applyNumberFormat="1" applyFont="1" applyBorder="1" applyAlignment="1" applyProtection="1"/>
    <xf numFmtId="173" fontId="10" fillId="0" borderId="21" xfId="0" applyNumberFormat="1" applyFont="1" applyBorder="1"/>
    <xf numFmtId="0" fontId="22" fillId="0" borderId="21" xfId="0" applyFont="1" applyBorder="1"/>
    <xf numFmtId="0" fontId="22" fillId="0" borderId="42" xfId="0" applyFont="1" applyBorder="1"/>
    <xf numFmtId="9" fontId="22" fillId="0" borderId="21" xfId="2" applyFont="1" applyBorder="1" applyAlignment="1" applyProtection="1"/>
    <xf numFmtId="0" fontId="22" fillId="0" borderId="22" xfId="0" applyFont="1" applyBorder="1"/>
    <xf numFmtId="9" fontId="10" fillId="0" borderId="24" xfId="2" applyFont="1" applyBorder="1" applyAlignment="1" applyProtection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9" fontId="9" fillId="0" borderId="39" xfId="2" applyFont="1" applyBorder="1" applyAlignment="1" applyProtection="1"/>
    <xf numFmtId="9" fontId="9" fillId="0" borderId="12" xfId="2" applyFont="1" applyBorder="1" applyAlignment="1" applyProtection="1">
      <alignment horizontal="center"/>
    </xf>
    <xf numFmtId="9" fontId="9" fillId="0" borderId="21" xfId="2" applyFont="1" applyBorder="1" applyAlignment="1" applyProtection="1"/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10" fontId="9" fillId="3" borderId="9" xfId="0" applyNumberFormat="1" applyFont="1" applyFill="1" applyBorder="1" applyAlignment="1">
      <alignment horizontal="center" vertical="center"/>
    </xf>
    <xf numFmtId="10" fontId="9" fillId="0" borderId="39" xfId="2" applyNumberFormat="1" applyFont="1" applyBorder="1" applyAlignment="1" applyProtection="1">
      <alignment horizontal="right"/>
    </xf>
    <xf numFmtId="10" fontId="9" fillId="0" borderId="12" xfId="2" applyNumberFormat="1" applyFont="1" applyBorder="1" applyAlignment="1" applyProtection="1">
      <alignment horizontal="right"/>
    </xf>
    <xf numFmtId="10" fontId="9" fillId="0" borderId="21" xfId="2" applyNumberFormat="1" applyFont="1" applyBorder="1" applyAlignment="1" applyProtection="1">
      <alignment horizontal="right"/>
    </xf>
    <xf numFmtId="0" fontId="9" fillId="0" borderId="39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10" fontId="9" fillId="3" borderId="21" xfId="0" applyNumberFormat="1" applyFont="1" applyFill="1" applyBorder="1" applyAlignment="1">
      <alignment horizontal="center" vertical="center"/>
    </xf>
    <xf numFmtId="10" fontId="9" fillId="0" borderId="21" xfId="0" applyNumberFormat="1" applyFont="1" applyBorder="1" applyAlignment="1">
      <alignment horizontal="center" vertical="center"/>
    </xf>
    <xf numFmtId="10" fontId="9" fillId="3" borderId="12" xfId="2" applyNumberFormat="1" applyFont="1" applyFill="1" applyBorder="1" applyAlignment="1" applyProtection="1">
      <alignment horizontal="center"/>
    </xf>
    <xf numFmtId="10" fontId="9" fillId="0" borderId="21" xfId="2" applyNumberFormat="1" applyFont="1" applyBorder="1" applyAlignment="1" applyProtection="1"/>
    <xf numFmtId="0" fontId="9" fillId="0" borderId="39" xfId="0" applyFont="1" applyBorder="1" applyAlignment="1">
      <alignment horizontal="right"/>
    </xf>
    <xf numFmtId="0" fontId="9" fillId="3" borderId="12" xfId="0" applyFont="1" applyFill="1" applyBorder="1" applyAlignment="1">
      <alignment horizontal="center"/>
    </xf>
    <xf numFmtId="0" fontId="9" fillId="0" borderId="21" xfId="0" applyFont="1" applyBorder="1"/>
    <xf numFmtId="0" fontId="9" fillId="0" borderId="40" xfId="0" applyFont="1" applyBorder="1" applyAlignment="1">
      <alignment horizontal="left" vertical="center"/>
    </xf>
    <xf numFmtId="10" fontId="9" fillId="3" borderId="2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10" fontId="9" fillId="0" borderId="50" xfId="0" applyNumberFormat="1" applyFont="1" applyBorder="1" applyAlignment="1">
      <alignment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51" xfId="0" applyFont="1" applyBorder="1" applyAlignment="1">
      <alignment vertical="center"/>
    </xf>
    <xf numFmtId="0" fontId="10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/>
    </xf>
    <xf numFmtId="10" fontId="10" fillId="6" borderId="29" xfId="0" applyNumberFormat="1" applyFont="1" applyFill="1" applyBorder="1" applyAlignment="1">
      <alignment horizontal="center" vertical="center" wrapText="1"/>
    </xf>
    <xf numFmtId="10" fontId="9" fillId="0" borderId="40" xfId="2" applyNumberFormat="1" applyFont="1" applyBorder="1" applyAlignment="1" applyProtection="1">
      <alignment horizontal="right"/>
    </xf>
    <xf numFmtId="10" fontId="9" fillId="0" borderId="14" xfId="2" applyNumberFormat="1" applyFont="1" applyBorder="1" applyAlignment="1" applyProtection="1">
      <alignment horizontal="right"/>
    </xf>
    <xf numFmtId="10" fontId="9" fillId="0" borderId="28" xfId="2" applyNumberFormat="1" applyFont="1" applyBorder="1" applyAlignment="1" applyProtection="1">
      <alignment horizontal="right"/>
    </xf>
    <xf numFmtId="0" fontId="3" fillId="0" borderId="0" xfId="4" applyNumberFormat="1" applyFont="1"/>
    <xf numFmtId="0" fontId="25" fillId="0" borderId="0" xfId="4" applyNumberFormat="1" applyFont="1"/>
    <xf numFmtId="0" fontId="26" fillId="0" borderId="0" xfId="4" applyNumberFormat="1" applyFont="1"/>
    <xf numFmtId="0" fontId="26" fillId="0" borderId="12" xfId="4" applyNumberFormat="1" applyFont="1" applyBorder="1" applyAlignment="1">
      <alignment horizontal="center"/>
    </xf>
    <xf numFmtId="0" fontId="3" fillId="0" borderId="12" xfId="4" applyNumberFormat="1" applyFont="1" applyBorder="1"/>
    <xf numFmtId="0" fontId="3" fillId="0" borderId="12" xfId="4" applyNumberFormat="1" applyFont="1" applyBorder="1"/>
    <xf numFmtId="0" fontId="3" fillId="0" borderId="12" xfId="4" applyNumberFormat="1" applyFont="1" applyBorder="1" applyAlignment="1">
      <alignment horizontal="center"/>
    </xf>
    <xf numFmtId="166" fontId="0" fillId="0" borderId="12" xfId="1" applyFont="1" applyBorder="1" applyAlignment="1" applyProtection="1">
      <alignment horizontal="center"/>
    </xf>
    <xf numFmtId="165" fontId="0" fillId="0" borderId="12" xfId="4" applyNumberFormat="1" applyFont="1" applyBorder="1" applyAlignment="1" applyProtection="1">
      <alignment horizontal="center"/>
    </xf>
    <xf numFmtId="17" fontId="3" fillId="0" borderId="12" xfId="4" applyNumberFormat="1" applyFont="1" applyBorder="1" applyAlignment="1">
      <alignment horizontal="center"/>
    </xf>
    <xf numFmtId="0" fontId="26" fillId="0" borderId="36" xfId="4" applyNumberFormat="1" applyFont="1" applyBorder="1" applyAlignment="1">
      <alignment horizontal="center"/>
    </xf>
    <xf numFmtId="165" fontId="0" fillId="0" borderId="12" xfId="4" applyNumberFormat="1" applyFont="1" applyBorder="1" applyAlignment="1" applyProtection="1"/>
    <xf numFmtId="0" fontId="3" fillId="0" borderId="0" xfId="4" applyNumberFormat="1" applyFont="1"/>
    <xf numFmtId="165" fontId="0" fillId="0" borderId="12" xfId="4" applyNumberFormat="1" applyFont="1" applyBorder="1" applyAlignment="1" applyProtection="1">
      <alignment horizontal="center"/>
    </xf>
    <xf numFmtId="0" fontId="22" fillId="0" borderId="39" xfId="0" applyFont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right" vertical="center"/>
    </xf>
    <xf numFmtId="0" fontId="21" fillId="0" borderId="40" xfId="0" applyFont="1" applyBorder="1" applyAlignment="1">
      <alignment horizontal="center" vertical="center"/>
    </xf>
    <xf numFmtId="2" fontId="21" fillId="10" borderId="14" xfId="0" applyNumberFormat="1" applyFont="1" applyFill="1" applyBorder="1" applyAlignment="1">
      <alignment horizontal="right" vertical="center"/>
    </xf>
    <xf numFmtId="2" fontId="4" fillId="0" borderId="0" xfId="0" applyNumberFormat="1" applyFont="1"/>
    <xf numFmtId="0" fontId="8" fillId="9" borderId="1" xfId="0" applyFont="1" applyFill="1" applyBorder="1" applyAlignment="1">
      <alignment horizontal="center"/>
    </xf>
    <xf numFmtId="0" fontId="4" fillId="0" borderId="55" xfId="0" applyFont="1" applyBorder="1"/>
    <xf numFmtId="0" fontId="27" fillId="0" borderId="55" xfId="0" applyFont="1" applyBorder="1" applyAlignment="1">
      <alignment horizontal="justify"/>
    </xf>
    <xf numFmtId="0" fontId="27" fillId="0" borderId="54" xfId="0" applyFont="1" applyBorder="1" applyAlignment="1">
      <alignment horizontal="justify"/>
    </xf>
    <xf numFmtId="0" fontId="26" fillId="0" borderId="12" xfId="4" applyNumberFormat="1" applyFont="1" applyBorder="1" applyAlignment="1">
      <alignment horizontal="center"/>
    </xf>
    <xf numFmtId="174" fontId="30" fillId="0" borderId="31" xfId="1" applyNumberFormat="1" applyFont="1" applyBorder="1" applyAlignment="1">
      <alignment horizontal="center" vertical="center"/>
    </xf>
    <xf numFmtId="174" fontId="30" fillId="11" borderId="31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74" fontId="30" fillId="11" borderId="12" xfId="1" applyNumberFormat="1" applyFont="1" applyFill="1" applyBorder="1" applyAlignment="1">
      <alignment horizontal="center" vertical="center"/>
    </xf>
    <xf numFmtId="13" fontId="30" fillId="11" borderId="12" xfId="0" applyNumberFormat="1" applyFont="1" applyFill="1" applyBorder="1" applyAlignment="1">
      <alignment vertical="center"/>
    </xf>
    <xf numFmtId="174" fontId="0" fillId="11" borderId="12" xfId="1" applyNumberFormat="1" applyFont="1" applyFill="1" applyBorder="1"/>
    <xf numFmtId="166" fontId="4" fillId="11" borderId="12" xfId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166" fontId="11" fillId="0" borderId="10" xfId="1" applyFont="1" applyBorder="1" applyAlignment="1" applyProtection="1">
      <alignment horizontal="left" vertical="center"/>
    </xf>
    <xf numFmtId="0" fontId="26" fillId="0" borderId="12" xfId="4" applyNumberFormat="1" applyFont="1" applyBorder="1" applyAlignment="1">
      <alignment horizontal="center"/>
    </xf>
    <xf numFmtId="0" fontId="33" fillId="0" borderId="0" xfId="9" applyFont="1"/>
    <xf numFmtId="0" fontId="2" fillId="0" borderId="0" xfId="7"/>
    <xf numFmtId="0" fontId="32" fillId="0" borderId="0" xfId="7" applyFont="1"/>
    <xf numFmtId="0" fontId="32" fillId="0" borderId="19" xfId="8" applyFont="1" applyBorder="1" applyAlignment="1">
      <alignment horizontal="center" vertical="center"/>
    </xf>
    <xf numFmtId="0" fontId="32" fillId="0" borderId="30" xfId="8" applyFont="1" applyBorder="1" applyAlignment="1">
      <alignment horizontal="center" vertical="center"/>
    </xf>
    <xf numFmtId="0" fontId="32" fillId="0" borderId="30" xfId="8" applyFont="1" applyBorder="1" applyAlignment="1">
      <alignment horizontal="center" vertical="center" wrapText="1"/>
    </xf>
    <xf numFmtId="0" fontId="32" fillId="0" borderId="18" xfId="8" applyFont="1" applyBorder="1" applyAlignment="1">
      <alignment horizontal="center" vertical="center" wrapText="1"/>
    </xf>
    <xf numFmtId="0" fontId="2" fillId="0" borderId="0" xfId="8"/>
    <xf numFmtId="0" fontId="2" fillId="0" borderId="47" xfId="8" applyFont="1" applyBorder="1" applyAlignment="1">
      <alignment horizontal="center"/>
    </xf>
    <xf numFmtId="0" fontId="2" fillId="0" borderId="47" xfId="8" applyFont="1" applyBorder="1"/>
    <xf numFmtId="20" fontId="2" fillId="0" borderId="47" xfId="8" applyNumberFormat="1" applyFont="1" applyBorder="1"/>
    <xf numFmtId="2" fontId="32" fillId="0" borderId="9" xfId="8" applyNumberFormat="1" applyFont="1" applyBorder="1" applyAlignment="1">
      <alignment horizontal="right"/>
    </xf>
    <xf numFmtId="2" fontId="2" fillId="0" borderId="0" xfId="8" applyNumberFormat="1"/>
    <xf numFmtId="2" fontId="2" fillId="0" borderId="0" xfId="7" applyNumberFormat="1"/>
    <xf numFmtId="0" fontId="2" fillId="0" borderId="14" xfId="8" applyFont="1" applyBorder="1" applyAlignment="1">
      <alignment horizontal="center"/>
    </xf>
    <xf numFmtId="0" fontId="2" fillId="0" borderId="14" xfId="8" applyFont="1" applyBorder="1"/>
    <xf numFmtId="20" fontId="2" fillId="0" borderId="14" xfId="8" applyNumberFormat="1" applyFont="1" applyBorder="1"/>
    <xf numFmtId="2" fontId="32" fillId="0" borderId="28" xfId="8" applyNumberFormat="1" applyFont="1" applyBorder="1" applyAlignment="1">
      <alignment horizontal="right"/>
    </xf>
    <xf numFmtId="0" fontId="2" fillId="0" borderId="12" xfId="7" applyBorder="1"/>
    <xf numFmtId="0" fontId="3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left" vertical="center"/>
    </xf>
    <xf numFmtId="0" fontId="2" fillId="0" borderId="0" xfId="8" applyFont="1" applyBorder="1" applyAlignment="1">
      <alignment horizontal="center"/>
    </xf>
    <xf numFmtId="0" fontId="2" fillId="0" borderId="0" xfId="8" applyFont="1" applyBorder="1"/>
    <xf numFmtId="20" fontId="2" fillId="0" borderId="0" xfId="8" applyNumberFormat="1" applyFont="1" applyBorder="1"/>
    <xf numFmtId="2" fontId="32" fillId="0" borderId="0" xfId="8" applyNumberFormat="1" applyFont="1" applyBorder="1" applyAlignment="1">
      <alignment horizontal="right"/>
    </xf>
    <xf numFmtId="0" fontId="32" fillId="0" borderId="0" xfId="7" applyFont="1" applyBorder="1"/>
    <xf numFmtId="0" fontId="32" fillId="0" borderId="58" xfId="7" applyFont="1" applyBorder="1"/>
    <xf numFmtId="0" fontId="2" fillId="0" borderId="33" xfId="7" applyBorder="1"/>
    <xf numFmtId="0" fontId="2" fillId="0" borderId="56" xfId="7" applyBorder="1"/>
    <xf numFmtId="0" fontId="2" fillId="0" borderId="37" xfId="7" applyBorder="1"/>
    <xf numFmtId="0" fontId="2" fillId="0" borderId="11" xfId="7" applyBorder="1"/>
    <xf numFmtId="176" fontId="2" fillId="0" borderId="0" xfId="6" applyNumberFormat="1" applyFont="1"/>
    <xf numFmtId="173" fontId="2" fillId="0" borderId="0" xfId="7" applyNumberFormat="1"/>
    <xf numFmtId="0" fontId="2" fillId="0" borderId="37" xfId="7" applyFont="1" applyBorder="1"/>
    <xf numFmtId="43" fontId="2" fillId="0" borderId="12" xfId="6" applyFont="1" applyBorder="1" applyAlignment="1">
      <alignment horizontal="right"/>
    </xf>
    <xf numFmtId="0" fontId="32" fillId="0" borderId="37" xfId="7" applyFont="1" applyBorder="1"/>
    <xf numFmtId="0" fontId="32" fillId="0" borderId="11" xfId="7" applyFont="1" applyBorder="1"/>
    <xf numFmtId="0" fontId="32" fillId="0" borderId="12" xfId="7" applyFont="1" applyBorder="1"/>
    <xf numFmtId="10" fontId="32" fillId="0" borderId="12" xfId="10" applyNumberFormat="1" applyFont="1" applyBorder="1"/>
    <xf numFmtId="0" fontId="2" fillId="0" borderId="59" xfId="7" applyBorder="1"/>
    <xf numFmtId="0" fontId="2" fillId="0" borderId="0" xfId="7" applyBorder="1"/>
    <xf numFmtId="0" fontId="2" fillId="0" borderId="60" xfId="7" applyBorder="1"/>
    <xf numFmtId="0" fontId="32" fillId="0" borderId="59" xfId="7" applyFont="1" applyBorder="1"/>
    <xf numFmtId="177" fontId="2" fillId="0" borderId="0" xfId="7" applyNumberFormat="1"/>
    <xf numFmtId="43" fontId="2" fillId="0" borderId="12" xfId="6" applyFont="1" applyBorder="1"/>
    <xf numFmtId="2" fontId="32" fillId="0" borderId="12" xfId="7" applyNumberFormat="1" applyFont="1" applyBorder="1"/>
    <xf numFmtId="10" fontId="32" fillId="0" borderId="60" xfId="10" applyNumberFormat="1" applyFont="1" applyBorder="1"/>
    <xf numFmtId="0" fontId="30" fillId="0" borderId="12" xfId="0" applyFont="1" applyBorder="1" applyAlignment="1">
      <alignment vertical="center"/>
    </xf>
    <xf numFmtId="0" fontId="30" fillId="0" borderId="12" xfId="0" applyFont="1" applyBorder="1" applyAlignment="1">
      <alignment horizontal="center" vertical="center"/>
    </xf>
    <xf numFmtId="174" fontId="0" fillId="0" borderId="12" xfId="1" applyNumberFormat="1" applyFont="1" applyFill="1" applyBorder="1"/>
    <xf numFmtId="166" fontId="0" fillId="0" borderId="0" xfId="0" applyNumberFormat="1"/>
    <xf numFmtId="0" fontId="36" fillId="0" borderId="0" xfId="12" applyFont="1" applyAlignment="1">
      <alignment vertical="center"/>
    </xf>
    <xf numFmtId="0" fontId="30" fillId="0" borderId="0" xfId="12" applyFont="1" applyAlignment="1">
      <alignment vertical="center"/>
    </xf>
    <xf numFmtId="174" fontId="30" fillId="0" borderId="0" xfId="13" applyNumberFormat="1" applyFont="1" applyAlignment="1">
      <alignment vertical="center"/>
    </xf>
    <xf numFmtId="4" fontId="36" fillId="0" borderId="0" xfId="12" applyNumberFormat="1" applyFont="1" applyBorder="1" applyAlignment="1">
      <alignment vertical="center"/>
    </xf>
    <xf numFmtId="0" fontId="35" fillId="0" borderId="0" xfId="12" applyAlignment="1">
      <alignment vertical="center"/>
    </xf>
    <xf numFmtId="4" fontId="35" fillId="0" borderId="0" xfId="12" applyNumberFormat="1" applyBorder="1" applyAlignment="1">
      <alignment vertical="center"/>
    </xf>
    <xf numFmtId="174" fontId="0" fillId="0" borderId="0" xfId="13" applyNumberFormat="1" applyFont="1" applyAlignment="1">
      <alignment vertical="center"/>
    </xf>
    <xf numFmtId="4" fontId="37" fillId="0" borderId="0" xfId="12" applyNumberFormat="1" applyFont="1" applyBorder="1" applyAlignment="1">
      <alignment vertical="center"/>
    </xf>
    <xf numFmtId="0" fontId="30" fillId="0" borderId="0" xfId="12" applyFont="1" applyBorder="1" applyAlignment="1">
      <alignment vertical="center"/>
    </xf>
    <xf numFmtId="4" fontId="38" fillId="0" borderId="0" xfId="12" applyNumberFormat="1" applyFont="1" applyBorder="1" applyAlignment="1">
      <alignment vertical="center"/>
    </xf>
    <xf numFmtId="4" fontId="35" fillId="0" borderId="0" xfId="12" applyNumberFormat="1" applyAlignment="1">
      <alignment vertical="center"/>
    </xf>
    <xf numFmtId="0" fontId="39" fillId="0" borderId="0" xfId="12" applyFont="1" applyAlignment="1">
      <alignment vertical="center"/>
    </xf>
    <xf numFmtId="174" fontId="40" fillId="0" borderId="0" xfId="13" applyNumberFormat="1" applyFont="1" applyAlignment="1">
      <alignment vertical="center"/>
    </xf>
    <xf numFmtId="0" fontId="40" fillId="0" borderId="0" xfId="12" applyFont="1" applyAlignment="1">
      <alignment vertical="center"/>
    </xf>
    <xf numFmtId="0" fontId="35" fillId="0" borderId="3" xfId="12" applyFill="1" applyBorder="1" applyAlignment="1">
      <alignment vertical="center"/>
    </xf>
    <xf numFmtId="4" fontId="35" fillId="0" borderId="0" xfId="12" applyNumberFormat="1" applyFill="1" applyBorder="1" applyAlignment="1">
      <alignment vertical="center"/>
    </xf>
    <xf numFmtId="174" fontId="0" fillId="0" borderId="0" xfId="13" applyNumberFormat="1" applyFont="1" applyFill="1" applyBorder="1" applyAlignment="1">
      <alignment vertical="center"/>
    </xf>
    <xf numFmtId="174" fontId="0" fillId="0" borderId="4" xfId="13" applyNumberFormat="1" applyFont="1" applyFill="1" applyBorder="1" applyAlignment="1">
      <alignment vertical="center"/>
    </xf>
    <xf numFmtId="174" fontId="34" fillId="0" borderId="6" xfId="13" applyNumberFormat="1" applyFont="1" applyBorder="1" applyAlignment="1">
      <alignment horizontal="center" vertical="center"/>
    </xf>
    <xf numFmtId="174" fontId="0" fillId="0" borderId="7" xfId="13" applyNumberFormat="1" applyFont="1" applyBorder="1" applyAlignment="1">
      <alignment vertical="center"/>
    </xf>
    <xf numFmtId="174" fontId="34" fillId="0" borderId="7" xfId="13" applyNumberFormat="1" applyFont="1" applyBorder="1" applyAlignment="1">
      <alignment vertical="center"/>
    </xf>
    <xf numFmtId="174" fontId="34" fillId="0" borderId="8" xfId="13" applyNumberFormat="1" applyFont="1" applyBorder="1" applyAlignment="1">
      <alignment vertical="center"/>
    </xf>
    <xf numFmtId="174" fontId="34" fillId="0" borderId="9" xfId="13" applyNumberFormat="1" applyFont="1" applyBorder="1" applyAlignment="1">
      <alignment horizontal="center" vertical="center"/>
    </xf>
    <xf numFmtId="174" fontId="34" fillId="0" borderId="10" xfId="13" applyNumberFormat="1" applyFont="1" applyBorder="1" applyAlignment="1">
      <alignment vertical="center"/>
    </xf>
    <xf numFmtId="174" fontId="34" fillId="0" borderId="11" xfId="12" applyNumberFormat="1" applyFont="1" applyBorder="1" applyAlignment="1">
      <alignment vertical="center"/>
    </xf>
    <xf numFmtId="174" fontId="34" fillId="0" borderId="11" xfId="13" applyNumberFormat="1" applyFont="1" applyBorder="1" applyAlignment="1">
      <alignment vertical="center"/>
    </xf>
    <xf numFmtId="168" fontId="34" fillId="0" borderId="12" xfId="12" applyNumberFormat="1" applyFont="1" applyBorder="1" applyAlignment="1">
      <alignment vertical="center"/>
    </xf>
    <xf numFmtId="10" fontId="34" fillId="0" borderId="13" xfId="14" applyNumberFormat="1" applyFont="1" applyBorder="1" applyAlignment="1">
      <alignment vertical="center"/>
    </xf>
    <xf numFmtId="174" fontId="34" fillId="0" borderId="0" xfId="13" applyNumberFormat="1" applyFont="1" applyAlignment="1">
      <alignment vertical="center"/>
    </xf>
    <xf numFmtId="0" fontId="34" fillId="0" borderId="0" xfId="12" applyFont="1" applyAlignment="1">
      <alignment vertical="center"/>
    </xf>
    <xf numFmtId="174" fontId="0" fillId="0" borderId="10" xfId="13" applyNumberFormat="1" applyFont="1" applyBorder="1" applyAlignment="1">
      <alignment vertical="center"/>
    </xf>
    <xf numFmtId="174" fontId="35" fillId="0" borderId="11" xfId="12" applyNumberFormat="1" applyBorder="1" applyAlignment="1">
      <alignment vertical="center"/>
    </xf>
    <xf numFmtId="174" fontId="0" fillId="0" borderId="11" xfId="13" applyNumberFormat="1" applyFont="1" applyBorder="1" applyAlignment="1">
      <alignment vertical="center"/>
    </xf>
    <xf numFmtId="168" fontId="35" fillId="0" borderId="12" xfId="12" applyNumberFormat="1" applyBorder="1" applyAlignment="1">
      <alignment vertical="center"/>
    </xf>
    <xf numFmtId="10" fontId="0" fillId="0" borderId="13" xfId="14" applyNumberFormat="1" applyFont="1" applyBorder="1" applyAlignment="1">
      <alignment vertical="center"/>
    </xf>
    <xf numFmtId="174" fontId="34" fillId="0" borderId="10" xfId="13" applyNumberFormat="1" applyFont="1" applyBorder="1" applyAlignment="1">
      <alignment horizontal="left" vertical="center"/>
    </xf>
    <xf numFmtId="4" fontId="34" fillId="0" borderId="11" xfId="12" applyNumberFormat="1" applyFont="1" applyBorder="1" applyAlignment="1">
      <alignment horizontal="centerContinuous" vertical="center"/>
    </xf>
    <xf numFmtId="168" fontId="34" fillId="0" borderId="14" xfId="12" applyNumberFormat="1" applyFont="1" applyBorder="1" applyAlignment="1">
      <alignment vertical="center"/>
    </xf>
    <xf numFmtId="174" fontId="34" fillId="0" borderId="15" xfId="13" applyNumberFormat="1" applyFont="1" applyBorder="1" applyAlignment="1">
      <alignment horizontal="left" vertical="center"/>
    </xf>
    <xf numFmtId="4" fontId="34" fillId="0" borderId="16" xfId="12" applyNumberFormat="1" applyFont="1" applyBorder="1" applyAlignment="1">
      <alignment horizontal="centerContinuous" vertical="center"/>
    </xf>
    <xf numFmtId="174" fontId="34" fillId="0" borderId="16" xfId="13" applyNumberFormat="1" applyFont="1" applyBorder="1" applyAlignment="1">
      <alignment vertical="center"/>
    </xf>
    <xf numFmtId="178" fontId="34" fillId="0" borderId="17" xfId="12" applyNumberFormat="1" applyFont="1" applyBorder="1" applyAlignment="1">
      <alignment vertical="center"/>
    </xf>
    <xf numFmtId="9" fontId="34" fillId="0" borderId="18" xfId="14" applyFont="1" applyBorder="1" applyAlignment="1">
      <alignment vertical="center"/>
    </xf>
    <xf numFmtId="174" fontId="34" fillId="0" borderId="20" xfId="13" applyNumberFormat="1" applyFont="1" applyBorder="1" applyAlignment="1">
      <alignment horizontal="right" vertical="center"/>
    </xf>
    <xf numFmtId="174" fontId="30" fillId="0" borderId="6" xfId="13" applyNumberFormat="1" applyFont="1" applyBorder="1" applyAlignment="1">
      <alignment vertical="center"/>
    </xf>
    <xf numFmtId="174" fontId="30" fillId="0" borderId="7" xfId="13" applyNumberFormat="1" applyFont="1" applyBorder="1" applyAlignment="1">
      <alignment vertical="center"/>
    </xf>
    <xf numFmtId="0" fontId="35" fillId="0" borderId="7" xfId="12" applyBorder="1" applyAlignment="1">
      <alignment vertical="center"/>
    </xf>
    <xf numFmtId="1" fontId="30" fillId="0" borderId="9" xfId="13" applyNumberFormat="1" applyFont="1" applyBorder="1" applyAlignment="1">
      <alignment horizontal="center" vertical="center"/>
    </xf>
    <xf numFmtId="174" fontId="30" fillId="0" borderId="10" xfId="13" applyNumberFormat="1" applyFont="1" applyBorder="1" applyAlignment="1">
      <alignment vertical="center"/>
    </xf>
    <xf numFmtId="174" fontId="30" fillId="0" borderId="11" xfId="13" applyNumberFormat="1" applyFont="1" applyBorder="1" applyAlignment="1">
      <alignment vertical="center"/>
    </xf>
    <xf numFmtId="0" fontId="35" fillId="0" borderId="11" xfId="12" applyBorder="1" applyAlignment="1">
      <alignment vertical="center"/>
    </xf>
    <xf numFmtId="1" fontId="30" fillId="0" borderId="21" xfId="13" applyNumberFormat="1" applyFont="1" applyBorder="1" applyAlignment="1">
      <alignment horizontal="center" vertical="center"/>
    </xf>
    <xf numFmtId="174" fontId="34" fillId="0" borderId="22" xfId="13" applyNumberFormat="1" applyFont="1" applyBorder="1" applyAlignment="1">
      <alignment vertical="center"/>
    </xf>
    <xf numFmtId="4" fontId="34" fillId="0" borderId="23" xfId="12" applyNumberFormat="1" applyFont="1" applyBorder="1" applyAlignment="1">
      <alignment vertical="center"/>
    </xf>
    <xf numFmtId="0" fontId="35" fillId="0" borderId="23" xfId="12" applyBorder="1" applyAlignment="1">
      <alignment vertical="center"/>
    </xf>
    <xf numFmtId="1" fontId="34" fillId="0" borderId="24" xfId="13" applyNumberFormat="1" applyFont="1" applyBorder="1" applyAlignment="1">
      <alignment horizontal="center" vertical="center"/>
    </xf>
    <xf numFmtId="174" fontId="34" fillId="0" borderId="3" xfId="13" applyNumberFormat="1" applyFont="1" applyBorder="1" applyAlignment="1">
      <alignment vertical="center"/>
    </xf>
    <xf numFmtId="4" fontId="34" fillId="0" borderId="0" xfId="12" applyNumberFormat="1" applyFont="1" applyBorder="1" applyAlignment="1">
      <alignment vertical="center"/>
    </xf>
    <xf numFmtId="174" fontId="30" fillId="0" borderId="0" xfId="13" applyNumberFormat="1" applyFont="1" applyBorder="1" applyAlignment="1">
      <alignment vertical="center"/>
    </xf>
    <xf numFmtId="174" fontId="30" fillId="0" borderId="4" xfId="13" applyNumberFormat="1" applyFont="1" applyBorder="1" applyAlignment="1">
      <alignment vertical="center"/>
    </xf>
    <xf numFmtId="174" fontId="30" fillId="0" borderId="26" xfId="13" applyNumberFormat="1" applyFont="1" applyBorder="1" applyAlignment="1">
      <alignment vertical="center"/>
    </xf>
    <xf numFmtId="174" fontId="30" fillId="0" borderId="27" xfId="13" applyNumberFormat="1" applyFont="1" applyBorder="1" applyAlignment="1">
      <alignment vertical="center"/>
    </xf>
    <xf numFmtId="0" fontId="30" fillId="0" borderId="27" xfId="12" applyFont="1" applyBorder="1" applyAlignment="1">
      <alignment vertical="center"/>
    </xf>
    <xf numFmtId="1" fontId="30" fillId="0" borderId="28" xfId="13" applyNumberFormat="1" applyFont="1" applyBorder="1" applyAlignment="1">
      <alignment horizontal="center" vertical="center"/>
    </xf>
    <xf numFmtId="1" fontId="30" fillId="0" borderId="0" xfId="13" applyNumberFormat="1" applyFont="1" applyBorder="1" applyAlignment="1">
      <alignment horizontal="center" vertical="center"/>
    </xf>
    <xf numFmtId="179" fontId="30" fillId="0" borderId="0" xfId="13" applyNumberFormat="1" applyFont="1" applyBorder="1" applyAlignment="1">
      <alignment horizontal="center" vertical="center"/>
    </xf>
    <xf numFmtId="174" fontId="34" fillId="0" borderId="15" xfId="13" applyNumberFormat="1" applyFont="1" applyBorder="1" applyAlignment="1">
      <alignment vertical="center"/>
    </xf>
    <xf numFmtId="10" fontId="34" fillId="11" borderId="29" xfId="14" applyNumberFormat="1" applyFont="1" applyFill="1" applyBorder="1" applyAlignment="1">
      <alignment vertical="center"/>
    </xf>
    <xf numFmtId="174" fontId="34" fillId="0" borderId="0" xfId="13" applyNumberFormat="1" applyFont="1" applyBorder="1" applyAlignment="1">
      <alignment vertical="center"/>
    </xf>
    <xf numFmtId="0" fontId="34" fillId="0" borderId="0" xfId="12" applyFont="1" applyBorder="1" applyAlignment="1">
      <alignment vertical="center"/>
    </xf>
    <xf numFmtId="179" fontId="34" fillId="0" borderId="0" xfId="13" applyNumberFormat="1" applyFont="1" applyBorder="1" applyAlignment="1">
      <alignment horizontal="center" vertical="center"/>
    </xf>
    <xf numFmtId="0" fontId="42" fillId="13" borderId="19" xfId="12" applyFont="1" applyFill="1" applyBorder="1" applyAlignment="1">
      <alignment horizontal="center" vertical="center"/>
    </xf>
    <xf numFmtId="0" fontId="42" fillId="13" borderId="30" xfId="12" applyFont="1" applyFill="1" applyBorder="1" applyAlignment="1">
      <alignment horizontal="center" vertical="center"/>
    </xf>
    <xf numFmtId="174" fontId="42" fillId="13" borderId="30" xfId="13" applyNumberFormat="1" applyFont="1" applyFill="1" applyBorder="1" applyAlignment="1">
      <alignment horizontal="center" vertical="center"/>
    </xf>
    <xf numFmtId="174" fontId="42" fillId="13" borderId="18" xfId="13" applyNumberFormat="1" applyFont="1" applyFill="1" applyBorder="1" applyAlignment="1">
      <alignment horizontal="center" vertical="center"/>
    </xf>
    <xf numFmtId="0" fontId="30" fillId="0" borderId="31" xfId="12" applyFont="1" applyBorder="1" applyAlignment="1">
      <alignment vertical="center"/>
    </xf>
    <xf numFmtId="0" fontId="30" fillId="0" borderId="31" xfId="12" applyFont="1" applyBorder="1" applyAlignment="1">
      <alignment horizontal="center" vertical="center"/>
    </xf>
    <xf numFmtId="174" fontId="30" fillId="11" borderId="31" xfId="13" applyNumberFormat="1" applyFont="1" applyFill="1" applyBorder="1" applyAlignment="1">
      <alignment horizontal="center" vertical="center"/>
    </xf>
    <xf numFmtId="174" fontId="30" fillId="0" borderId="31" xfId="13" applyNumberFormat="1" applyFont="1" applyBorder="1" applyAlignment="1">
      <alignment horizontal="center" vertical="center"/>
    </xf>
    <xf numFmtId="0" fontId="30" fillId="0" borderId="12" xfId="12" applyFont="1" applyBorder="1" applyAlignment="1">
      <alignment vertical="center"/>
    </xf>
    <xf numFmtId="0" fontId="30" fillId="0" borderId="12" xfId="12" applyFont="1" applyBorder="1" applyAlignment="1">
      <alignment horizontal="center" vertical="center"/>
    </xf>
    <xf numFmtId="2" fontId="30" fillId="11" borderId="12" xfId="12" applyNumberFormat="1" applyFont="1" applyFill="1" applyBorder="1" applyAlignment="1">
      <alignment horizontal="center" vertical="center"/>
    </xf>
    <xf numFmtId="174" fontId="30" fillId="0" borderId="12" xfId="13" applyNumberFormat="1" applyFont="1" applyBorder="1" applyAlignment="1">
      <alignment horizontal="center" vertical="center"/>
    </xf>
    <xf numFmtId="174" fontId="30" fillId="0" borderId="12" xfId="13" applyNumberFormat="1" applyFont="1" applyFill="1" applyBorder="1" applyAlignment="1">
      <alignment horizontal="center" vertical="center"/>
    </xf>
    <xf numFmtId="0" fontId="34" fillId="0" borderId="32" xfId="12" applyFont="1" applyBorder="1" applyAlignment="1">
      <alignment vertical="center"/>
    </xf>
    <xf numFmtId="0" fontId="34" fillId="0" borderId="0" xfId="12" applyFont="1" applyAlignment="1">
      <alignment horizontal="center" vertical="center"/>
    </xf>
    <xf numFmtId="174" fontId="34" fillId="0" borderId="0" xfId="13" applyNumberFormat="1" applyFont="1" applyAlignment="1">
      <alignment horizontal="center" vertical="center"/>
    </xf>
    <xf numFmtId="174" fontId="34" fillId="0" borderId="32" xfId="13" applyNumberFormat="1" applyFont="1" applyBorder="1" applyAlignment="1">
      <alignment horizontal="center" vertical="center"/>
    </xf>
    <xf numFmtId="174" fontId="30" fillId="14" borderId="12" xfId="13" applyNumberFormat="1" applyFont="1" applyFill="1" applyBorder="1" applyAlignment="1">
      <alignment horizontal="center" vertical="center"/>
    </xf>
    <xf numFmtId="0" fontId="30" fillId="11" borderId="12" xfId="12" applyFont="1" applyFill="1" applyBorder="1" applyAlignment="1">
      <alignment horizontal="center" vertical="center"/>
    </xf>
    <xf numFmtId="174" fontId="30" fillId="0" borderId="0" xfId="13" applyNumberFormat="1" applyFont="1" applyAlignment="1">
      <alignment horizontal="right" vertical="center"/>
    </xf>
    <xf numFmtId="176" fontId="30" fillId="0" borderId="12" xfId="13" applyNumberFormat="1" applyFont="1" applyBorder="1" applyAlignment="1">
      <alignment vertical="center"/>
    </xf>
    <xf numFmtId="174" fontId="34" fillId="13" borderId="29" xfId="13" applyNumberFormat="1" applyFont="1" applyFill="1" applyBorder="1" applyAlignment="1">
      <alignment horizontal="center" vertical="center"/>
    </xf>
    <xf numFmtId="174" fontId="30" fillId="0" borderId="0" xfId="12" applyNumberFormat="1" applyFont="1" applyAlignment="1">
      <alignment vertical="center"/>
    </xf>
    <xf numFmtId="0" fontId="30" fillId="0" borderId="0" xfId="12" applyFont="1" applyAlignment="1">
      <alignment horizontal="right" vertical="center"/>
    </xf>
    <xf numFmtId="179" fontId="30" fillId="0" borderId="12" xfId="13" applyNumberFormat="1" applyFont="1" applyBorder="1" applyAlignment="1">
      <alignment horizontal="center" vertical="center"/>
    </xf>
    <xf numFmtId="174" fontId="30" fillId="11" borderId="0" xfId="13" applyNumberFormat="1" applyFont="1" applyFill="1" applyAlignment="1">
      <alignment vertical="center"/>
    </xf>
    <xf numFmtId="0" fontId="30" fillId="11" borderId="0" xfId="12" applyFont="1" applyFill="1" applyAlignment="1">
      <alignment vertical="center"/>
    </xf>
    <xf numFmtId="179" fontId="30" fillId="0" borderId="12" xfId="13" applyNumberFormat="1" applyFont="1" applyBorder="1" applyAlignment="1">
      <alignment vertical="center"/>
    </xf>
    <xf numFmtId="0" fontId="30" fillId="0" borderId="0" xfId="12" applyFont="1" applyFill="1" applyAlignment="1">
      <alignment vertical="center"/>
    </xf>
    <xf numFmtId="174" fontId="34" fillId="0" borderId="0" xfId="13" applyNumberFormat="1" applyFont="1" applyFill="1" applyBorder="1" applyAlignment="1">
      <alignment vertical="center"/>
    </xf>
    <xf numFmtId="179" fontId="30" fillId="0" borderId="12" xfId="13" applyNumberFormat="1" applyFont="1" applyFill="1" applyBorder="1" applyAlignment="1">
      <alignment vertical="center"/>
    </xf>
    <xf numFmtId="174" fontId="30" fillId="11" borderId="12" xfId="13" applyNumberFormat="1" applyFont="1" applyFill="1" applyBorder="1" applyAlignment="1">
      <alignment horizontal="center" vertical="center"/>
    </xf>
    <xf numFmtId="174" fontId="30" fillId="0" borderId="12" xfId="13" applyNumberFormat="1" applyFont="1" applyBorder="1" applyAlignment="1">
      <alignment vertical="center"/>
    </xf>
    <xf numFmtId="1" fontId="30" fillId="0" borderId="12" xfId="13" applyNumberFormat="1" applyFont="1" applyFill="1" applyBorder="1" applyAlignment="1">
      <alignment horizontal="center" vertical="center"/>
    </xf>
    <xf numFmtId="44" fontId="30" fillId="11" borderId="12" xfId="15" applyFont="1" applyFill="1" applyBorder="1" applyAlignment="1">
      <alignment horizontal="center" vertical="center"/>
    </xf>
    <xf numFmtId="44" fontId="30" fillId="11" borderId="12" xfId="15" applyFont="1" applyFill="1" applyBorder="1" applyAlignment="1">
      <alignment vertical="center"/>
    </xf>
    <xf numFmtId="0" fontId="44" fillId="0" borderId="33" xfId="12" applyFont="1" applyBorder="1" applyAlignment="1">
      <alignment vertical="center"/>
    </xf>
    <xf numFmtId="176" fontId="30" fillId="0" borderId="0" xfId="13" applyNumberFormat="1" applyFont="1" applyBorder="1" applyAlignment="1">
      <alignment vertical="center"/>
    </xf>
    <xf numFmtId="0" fontId="34" fillId="0" borderId="15" xfId="12" applyFont="1" applyBorder="1" applyAlignment="1">
      <alignment vertical="center"/>
    </xf>
    <xf numFmtId="0" fontId="34" fillId="0" borderId="16" xfId="12" applyFont="1" applyBorder="1" applyAlignment="1">
      <alignment vertical="center"/>
    </xf>
    <xf numFmtId="174" fontId="34" fillId="0" borderId="29" xfId="13" applyNumberFormat="1" applyFont="1" applyBorder="1" applyAlignment="1">
      <alignment vertical="center"/>
    </xf>
    <xf numFmtId="0" fontId="42" fillId="13" borderId="30" xfId="12" applyFont="1" applyFill="1" applyBorder="1" applyAlignment="1">
      <alignment horizontal="center" vertical="center" wrapText="1"/>
    </xf>
    <xf numFmtId="13" fontId="30" fillId="11" borderId="12" xfId="12" applyNumberFormat="1" applyFont="1" applyFill="1" applyBorder="1" applyAlignment="1">
      <alignment vertical="center"/>
    </xf>
    <xf numFmtId="174" fontId="0" fillId="11" borderId="12" xfId="13" applyNumberFormat="1" applyFont="1" applyFill="1" applyBorder="1"/>
    <xf numFmtId="0" fontId="30" fillId="0" borderId="12" xfId="12" applyFont="1" applyBorder="1"/>
    <xf numFmtId="0" fontId="30" fillId="0" borderId="12" xfId="12" applyFont="1" applyBorder="1" applyAlignment="1">
      <alignment horizontal="center"/>
    </xf>
    <xf numFmtId="174" fontId="30" fillId="0" borderId="0" xfId="13" applyNumberFormat="1" applyFont="1"/>
    <xf numFmtId="0" fontId="30" fillId="0" borderId="0" xfId="12" applyFont="1"/>
    <xf numFmtId="13" fontId="30" fillId="0" borderId="12" xfId="12" applyNumberFormat="1" applyFont="1" applyFill="1" applyBorder="1" applyAlignment="1">
      <alignment vertical="center"/>
    </xf>
    <xf numFmtId="1" fontId="30" fillId="0" borderId="12" xfId="12" applyNumberFormat="1" applyFont="1" applyBorder="1" applyAlignment="1">
      <alignment horizontal="center" vertical="center"/>
    </xf>
    <xf numFmtId="0" fontId="30" fillId="0" borderId="16" xfId="12" applyFont="1" applyBorder="1" applyAlignment="1">
      <alignment vertical="center"/>
    </xf>
    <xf numFmtId="174" fontId="30" fillId="0" borderId="16" xfId="13" applyNumberFormat="1" applyFont="1" applyBorder="1" applyAlignment="1">
      <alignment vertical="center"/>
    </xf>
    <xf numFmtId="174" fontId="30" fillId="0" borderId="29" xfId="13" applyNumberFormat="1" applyFont="1" applyBorder="1" applyAlignment="1">
      <alignment vertical="center"/>
    </xf>
    <xf numFmtId="174" fontId="34" fillId="0" borderId="0" xfId="13" applyNumberFormat="1" applyFont="1" applyFill="1" applyBorder="1" applyAlignment="1">
      <alignment horizontal="center" vertical="center"/>
    </xf>
    <xf numFmtId="0" fontId="45" fillId="0" borderId="12" xfId="12" applyFont="1" applyBorder="1" applyAlignment="1">
      <alignment horizontal="center" vertical="center"/>
    </xf>
    <xf numFmtId="174" fontId="30" fillId="0" borderId="0" xfId="13" applyNumberFormat="1" applyFont="1" applyFill="1" applyBorder="1" applyAlignment="1">
      <alignment horizontal="center" vertical="center"/>
    </xf>
    <xf numFmtId="0" fontId="30" fillId="0" borderId="12" xfId="12" applyNumberFormat="1" applyFont="1" applyBorder="1" applyAlignment="1">
      <alignment horizontal="center" vertical="center"/>
    </xf>
    <xf numFmtId="0" fontId="44" fillId="0" borderId="0" xfId="12" applyFont="1" applyBorder="1" applyAlignment="1">
      <alignment vertical="center"/>
    </xf>
    <xf numFmtId="174" fontId="46" fillId="0" borderId="0" xfId="13" applyNumberFormat="1" applyFont="1" applyAlignment="1">
      <alignment vertical="center"/>
    </xf>
    <xf numFmtId="0" fontId="46" fillId="0" borderId="0" xfId="12" applyFont="1" applyAlignment="1">
      <alignment vertical="center"/>
    </xf>
    <xf numFmtId="0" fontId="36" fillId="0" borderId="0" xfId="12" applyFont="1" applyBorder="1" applyAlignment="1">
      <alignment vertical="center"/>
    </xf>
    <xf numFmtId="174" fontId="36" fillId="0" borderId="0" xfId="13" applyNumberFormat="1" applyFont="1" applyBorder="1" applyAlignment="1">
      <alignment vertical="center"/>
    </xf>
    <xf numFmtId="0" fontId="30" fillId="0" borderId="37" xfId="12" applyFont="1" applyBorder="1" applyAlignment="1">
      <alignment vertical="center"/>
    </xf>
    <xf numFmtId="0" fontId="30" fillId="0" borderId="11" xfId="12" applyFont="1" applyBorder="1" applyAlignment="1">
      <alignment vertical="center"/>
    </xf>
    <xf numFmtId="174" fontId="30" fillId="11" borderId="11" xfId="13" applyNumberFormat="1" applyFont="1" applyFill="1" applyBorder="1" applyAlignment="1">
      <alignment vertical="center"/>
    </xf>
    <xf numFmtId="174" fontId="30" fillId="0" borderId="36" xfId="13" applyNumberFormat="1" applyFont="1" applyBorder="1" applyAlignment="1">
      <alignment vertical="center"/>
    </xf>
    <xf numFmtId="174" fontId="34" fillId="0" borderId="29" xfId="13" applyNumberFormat="1" applyFont="1" applyBorder="1" applyAlignment="1">
      <alignment horizontal="right" vertical="center"/>
    </xf>
    <xf numFmtId="174" fontId="34" fillId="13" borderId="5" xfId="13" applyNumberFormat="1" applyFont="1" applyFill="1" applyBorder="1" applyAlignment="1">
      <alignment horizontal="right" vertical="center"/>
    </xf>
    <xf numFmtId="174" fontId="36" fillId="0" borderId="0" xfId="13" applyNumberFormat="1" applyFont="1" applyAlignment="1">
      <alignment vertical="center"/>
    </xf>
    <xf numFmtId="0" fontId="42" fillId="12" borderId="19" xfId="12" applyFont="1" applyFill="1" applyBorder="1" applyAlignment="1">
      <alignment horizontal="center" vertical="center"/>
    </xf>
    <xf numFmtId="0" fontId="42" fillId="12" borderId="30" xfId="12" applyFont="1" applyFill="1" applyBorder="1" applyAlignment="1">
      <alignment horizontal="center" vertical="center"/>
    </xf>
    <xf numFmtId="174" fontId="42" fillId="12" borderId="30" xfId="13" applyNumberFormat="1" applyFont="1" applyFill="1" applyBorder="1" applyAlignment="1">
      <alignment horizontal="center" vertical="center"/>
    </xf>
    <xf numFmtId="174" fontId="42" fillId="12" borderId="18" xfId="13" applyNumberFormat="1" applyFont="1" applyFill="1" applyBorder="1" applyAlignment="1">
      <alignment horizontal="center" vertical="center"/>
    </xf>
    <xf numFmtId="174" fontId="34" fillId="12" borderId="29" xfId="13" applyNumberFormat="1" applyFont="1" applyFill="1" applyBorder="1" applyAlignment="1">
      <alignment horizontal="center" vertical="center"/>
    </xf>
    <xf numFmtId="174" fontId="34" fillId="12" borderId="5" xfId="13" applyNumberFormat="1" applyFont="1" applyFill="1" applyBorder="1" applyAlignment="1">
      <alignment vertical="center"/>
    </xf>
    <xf numFmtId="44" fontId="34" fillId="12" borderId="5" xfId="15" applyFont="1" applyFill="1" applyBorder="1" applyAlignment="1">
      <alignment vertical="center"/>
    </xf>
    <xf numFmtId="0" fontId="42" fillId="12" borderId="30" xfId="12" applyFont="1" applyFill="1" applyBorder="1" applyAlignment="1">
      <alignment horizontal="center" vertical="center" wrapText="1"/>
    </xf>
    <xf numFmtId="174" fontId="34" fillId="12" borderId="5" xfId="13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5" fillId="0" borderId="0" xfId="12"/>
    <xf numFmtId="4" fontId="35" fillId="0" borderId="0" xfId="12" applyNumberFormat="1"/>
    <xf numFmtId="0" fontId="35" fillId="0" borderId="0" xfId="12" applyBorder="1"/>
    <xf numFmtId="0" fontId="35" fillId="0" borderId="0" xfId="12" applyBorder="1" applyAlignment="1">
      <alignment wrapText="1"/>
    </xf>
    <xf numFmtId="4" fontId="35" fillId="0" borderId="0" xfId="12" applyNumberFormat="1" applyBorder="1" applyAlignment="1">
      <alignment horizontal="center"/>
    </xf>
    <xf numFmtId="2" fontId="35" fillId="0" borderId="0" xfId="12" applyNumberFormat="1" applyBorder="1" applyAlignment="1">
      <alignment horizontal="center"/>
    </xf>
    <xf numFmtId="0" fontId="35" fillId="0" borderId="0" xfId="12" applyAlignment="1">
      <alignment horizontal="center"/>
    </xf>
    <xf numFmtId="0" fontId="35" fillId="0" borderId="39" xfId="12" applyBorder="1" applyAlignment="1">
      <alignment horizontal="center"/>
    </xf>
    <xf numFmtId="0" fontId="35" fillId="0" borderId="12" xfId="12" applyBorder="1" applyAlignment="1">
      <alignment horizontal="center"/>
    </xf>
    <xf numFmtId="0" fontId="35" fillId="0" borderId="21" xfId="12" applyBorder="1" applyAlignment="1">
      <alignment horizontal="center"/>
    </xf>
    <xf numFmtId="4" fontId="0" fillId="0" borderId="12" xfId="56" applyNumberFormat="1" applyFont="1" applyFill="1" applyBorder="1" applyAlignment="1">
      <alignment horizontal="right"/>
    </xf>
    <xf numFmtId="0" fontId="35" fillId="0" borderId="21" xfId="12" applyFill="1" applyBorder="1"/>
    <xf numFmtId="49" fontId="35" fillId="0" borderId="12" xfId="12" applyNumberFormat="1" applyBorder="1" applyAlignment="1">
      <alignment horizontal="center"/>
    </xf>
    <xf numFmtId="4" fontId="0" fillId="0" borderId="12" xfId="56" applyNumberFormat="1" applyFont="1" applyBorder="1" applyAlignment="1">
      <alignment horizontal="right"/>
    </xf>
    <xf numFmtId="0" fontId="35" fillId="0" borderId="21" xfId="12" applyBorder="1"/>
    <xf numFmtId="4" fontId="35" fillId="0" borderId="0" xfId="12" applyNumberFormat="1" applyBorder="1"/>
    <xf numFmtId="4" fontId="35" fillId="0" borderId="12" xfId="12" applyNumberFormat="1" applyBorder="1"/>
    <xf numFmtId="2" fontId="35" fillId="0" borderId="39" xfId="12" applyNumberFormat="1" applyBorder="1" applyAlignment="1">
      <alignment horizontal="center"/>
    </xf>
    <xf numFmtId="0" fontId="35" fillId="0" borderId="37" xfId="12" applyBorder="1" applyAlignment="1">
      <alignment horizontal="center" vertical="center"/>
    </xf>
    <xf numFmtId="1" fontId="35" fillId="0" borderId="37" xfId="12" applyNumberFormat="1" applyBorder="1" applyAlignment="1">
      <alignment horizontal="right" vertical="center"/>
    </xf>
    <xf numFmtId="0" fontId="35" fillId="0" borderId="36" xfId="12" applyBorder="1" applyAlignment="1">
      <alignment horizontal="left" vertical="center"/>
    </xf>
    <xf numFmtId="2" fontId="35" fillId="0" borderId="36" xfId="12" applyNumberFormat="1" applyBorder="1"/>
    <xf numFmtId="2" fontId="35" fillId="0" borderId="21" xfId="12" applyNumberFormat="1" applyBorder="1"/>
    <xf numFmtId="2" fontId="35" fillId="0" borderId="0" xfId="12" applyNumberFormat="1" applyBorder="1" applyAlignment="1"/>
    <xf numFmtId="2" fontId="32" fillId="0" borderId="35" xfId="12" applyNumberFormat="1" applyFont="1" applyBorder="1"/>
    <xf numFmtId="2" fontId="32" fillId="0" borderId="20" xfId="12" applyNumberFormat="1" applyFont="1" applyBorder="1"/>
    <xf numFmtId="4" fontId="32" fillId="0" borderId="32" xfId="56" applyNumberFormat="1" applyFont="1" applyBorder="1"/>
    <xf numFmtId="0" fontId="32" fillId="0" borderId="42" xfId="12" applyFont="1" applyFill="1" applyBorder="1"/>
    <xf numFmtId="0" fontId="35" fillId="0" borderId="0" xfId="12" applyBorder="1" applyAlignment="1"/>
    <xf numFmtId="175" fontId="32" fillId="0" borderId="0" xfId="12" applyNumberFormat="1" applyFont="1" applyBorder="1" applyAlignment="1">
      <alignment horizontal="center"/>
    </xf>
    <xf numFmtId="0" fontId="35" fillId="0" borderId="0" xfId="12" applyBorder="1" applyAlignment="1">
      <alignment horizontal="center"/>
    </xf>
    <xf numFmtId="2" fontId="32" fillId="0" borderId="14" xfId="56" applyNumberFormat="1" applyFont="1" applyBorder="1"/>
    <xf numFmtId="0" fontId="32" fillId="0" borderId="28" xfId="12" applyFont="1" applyBorder="1"/>
    <xf numFmtId="0" fontId="35" fillId="0" borderId="48" xfId="12" applyBorder="1" applyAlignment="1"/>
    <xf numFmtId="0" fontId="35" fillId="0" borderId="49" xfId="12" applyBorder="1" applyAlignment="1"/>
    <xf numFmtId="0" fontId="35" fillId="0" borderId="50" xfId="12" applyBorder="1" applyAlignment="1"/>
    <xf numFmtId="2" fontId="32" fillId="0" borderId="30" xfId="12" applyNumberFormat="1" applyFont="1" applyBorder="1"/>
    <xf numFmtId="2" fontId="32" fillId="0" borderId="18" xfId="12" applyNumberFormat="1" applyFont="1" applyBorder="1"/>
    <xf numFmtId="0" fontId="32" fillId="0" borderId="0" xfId="12" applyFont="1" applyBorder="1" applyAlignment="1"/>
    <xf numFmtId="4" fontId="0" fillId="0" borderId="0" xfId="56" applyNumberFormat="1" applyFont="1" applyBorder="1" applyAlignment="1">
      <alignment horizontal="right"/>
    </xf>
    <xf numFmtId="0" fontId="35" fillId="0" borderId="0" xfId="12" applyFill="1" applyBorder="1" applyAlignment="1"/>
    <xf numFmtId="49" fontId="35" fillId="0" borderId="0" xfId="12" applyNumberFormat="1" applyBorder="1" applyAlignment="1">
      <alignment horizontal="center"/>
    </xf>
    <xf numFmtId="2" fontId="32" fillId="0" borderId="0" xfId="56" applyNumberFormat="1" applyFont="1" applyBorder="1"/>
    <xf numFmtId="0" fontId="32" fillId="0" borderId="0" xfId="12" applyFont="1" applyBorder="1"/>
    <xf numFmtId="166" fontId="0" fillId="0" borderId="12" xfId="1" applyFont="1" applyBorder="1" applyAlignment="1" applyProtection="1">
      <alignment horizontal="left"/>
    </xf>
    <xf numFmtId="0" fontId="11" fillId="0" borderId="2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6" fontId="5" fillId="2" borderId="5" xfId="1" applyFont="1" applyFill="1" applyBorder="1" applyAlignment="1" applyProtection="1">
      <alignment horizontal="center" vertical="center"/>
    </xf>
    <xf numFmtId="166" fontId="11" fillId="0" borderId="10" xfId="1" applyFont="1" applyBorder="1" applyAlignment="1" applyProtection="1">
      <alignment horizontal="left" vertical="center"/>
    </xf>
    <xf numFmtId="166" fontId="11" fillId="0" borderId="19" xfId="1" applyFont="1" applyBorder="1" applyAlignment="1" applyProtection="1">
      <alignment horizontal="center" vertical="center"/>
    </xf>
    <xf numFmtId="0" fontId="34" fillId="0" borderId="25" xfId="12" applyFont="1" applyBorder="1" applyAlignment="1">
      <alignment horizontal="center" vertical="center"/>
    </xf>
    <xf numFmtId="0" fontId="34" fillId="0" borderId="35" xfId="12" applyFont="1" applyBorder="1" applyAlignment="1">
      <alignment horizontal="center" vertical="center"/>
    </xf>
    <xf numFmtId="0" fontId="39" fillId="12" borderId="48" xfId="12" applyFont="1" applyFill="1" applyBorder="1" applyAlignment="1">
      <alignment horizontal="center" vertical="center"/>
    </xf>
    <xf numFmtId="0" fontId="39" fillId="12" borderId="49" xfId="12" applyFont="1" applyFill="1" applyBorder="1" applyAlignment="1">
      <alignment horizontal="center" vertical="center"/>
    </xf>
    <xf numFmtId="0" fontId="39" fillId="12" borderId="50" xfId="12" applyFont="1" applyFill="1" applyBorder="1" applyAlignment="1">
      <alignment horizontal="center" vertical="center"/>
    </xf>
    <xf numFmtId="0" fontId="41" fillId="12" borderId="61" xfId="12" applyFont="1" applyFill="1" applyBorder="1" applyAlignment="1">
      <alignment horizontal="center" vertical="center"/>
    </xf>
    <xf numFmtId="0" fontId="41" fillId="12" borderId="62" xfId="12" applyFont="1" applyFill="1" applyBorder="1" applyAlignment="1">
      <alignment horizontal="center" vertical="center"/>
    </xf>
    <xf numFmtId="0" fontId="41" fillId="12" borderId="63" xfId="12" applyFont="1" applyFill="1" applyBorder="1" applyAlignment="1">
      <alignment horizontal="center" vertical="center"/>
    </xf>
    <xf numFmtId="174" fontId="36" fillId="12" borderId="15" xfId="13" applyNumberFormat="1" applyFont="1" applyFill="1" applyBorder="1" applyAlignment="1">
      <alignment horizontal="center" vertical="center"/>
    </xf>
    <xf numFmtId="174" fontId="36" fillId="12" borderId="16" xfId="13" applyNumberFormat="1" applyFont="1" applyFill="1" applyBorder="1" applyAlignment="1">
      <alignment horizontal="center" vertical="center"/>
    </xf>
    <xf numFmtId="174" fontId="36" fillId="12" borderId="29" xfId="13" applyNumberFormat="1" applyFont="1" applyFill="1" applyBorder="1" applyAlignment="1">
      <alignment horizontal="center" vertical="center"/>
    </xf>
    <xf numFmtId="174" fontId="34" fillId="0" borderId="10" xfId="13" applyNumberFormat="1" applyFont="1" applyBorder="1" applyAlignment="1">
      <alignment horizontal="left" vertical="center"/>
    </xf>
    <xf numFmtId="174" fontId="34" fillId="0" borderId="11" xfId="13" applyNumberFormat="1" applyFont="1" applyBorder="1" applyAlignment="1">
      <alignment horizontal="left" vertical="center"/>
    </xf>
    <xf numFmtId="174" fontId="34" fillId="0" borderId="15" xfId="13" applyNumberFormat="1" applyFont="1" applyBorder="1" applyAlignment="1">
      <alignment horizontal="center" vertical="center"/>
    </xf>
    <xf numFmtId="174" fontId="34" fillId="0" borderId="16" xfId="13" applyNumberFormat="1" applyFont="1" applyBorder="1" applyAlignment="1">
      <alignment horizontal="center" vertical="center"/>
    </xf>
    <xf numFmtId="174" fontId="34" fillId="0" borderId="64" xfId="13" applyNumberFormat="1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8" fillId="9" borderId="38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9" fontId="10" fillId="0" borderId="38" xfId="2" applyFont="1" applyBorder="1" applyAlignment="1" applyProtection="1">
      <alignment horizontal="center"/>
    </xf>
    <xf numFmtId="0" fontId="9" fillId="0" borderId="14" xfId="0" applyFont="1" applyBorder="1" applyAlignment="1">
      <alignment horizontal="center" vertical="center"/>
    </xf>
    <xf numFmtId="0" fontId="26" fillId="0" borderId="12" xfId="4" applyNumberFormat="1" applyFont="1" applyBorder="1" applyAlignment="1">
      <alignment horizontal="center"/>
    </xf>
    <xf numFmtId="0" fontId="32" fillId="0" borderId="46" xfId="8" applyFont="1" applyBorder="1" applyAlignment="1">
      <alignment horizontal="center" vertical="center"/>
    </xf>
    <xf numFmtId="0" fontId="32" fillId="0" borderId="40" xfId="8" applyFont="1" applyBorder="1" applyAlignment="1">
      <alignment horizontal="center" vertical="center"/>
    </xf>
    <xf numFmtId="0" fontId="0" fillId="0" borderId="35" xfId="8" applyFont="1" applyBorder="1" applyAlignment="1">
      <alignment horizontal="center" vertical="center"/>
    </xf>
    <xf numFmtId="0" fontId="2" fillId="0" borderId="57" xfId="8" applyFont="1" applyBorder="1" applyAlignment="1">
      <alignment horizontal="center" vertical="center"/>
    </xf>
    <xf numFmtId="0" fontId="0" fillId="0" borderId="35" xfId="8" applyFont="1" applyBorder="1" applyAlignment="1">
      <alignment horizontal="center" vertical="center" wrapText="1"/>
    </xf>
    <xf numFmtId="0" fontId="2" fillId="0" borderId="57" xfId="8" applyFont="1" applyBorder="1" applyAlignment="1">
      <alignment horizontal="center" vertical="center" wrapText="1"/>
    </xf>
    <xf numFmtId="0" fontId="35" fillId="0" borderId="15" xfId="12" applyBorder="1" applyAlignment="1">
      <alignment horizontal="center"/>
    </xf>
    <xf numFmtId="0" fontId="35" fillId="0" borderId="16" xfId="12" applyBorder="1" applyAlignment="1">
      <alignment horizontal="center"/>
    </xf>
    <xf numFmtId="0" fontId="35" fillId="0" borderId="29" xfId="12" applyBorder="1" applyAlignment="1">
      <alignment horizontal="center"/>
    </xf>
    <xf numFmtId="0" fontId="32" fillId="0" borderId="19" xfId="12" applyFont="1" applyBorder="1" applyAlignment="1">
      <alignment horizontal="center"/>
    </xf>
    <xf numFmtId="0" fontId="32" fillId="0" borderId="30" xfId="12" applyFont="1" applyBorder="1" applyAlignment="1">
      <alignment horizontal="center"/>
    </xf>
    <xf numFmtId="0" fontId="32" fillId="0" borderId="18" xfId="12" applyFont="1" applyBorder="1" applyAlignment="1">
      <alignment horizontal="center"/>
    </xf>
    <xf numFmtId="0" fontId="35" fillId="0" borderId="10" xfId="12" applyBorder="1" applyAlignment="1">
      <alignment horizontal="center"/>
    </xf>
    <xf numFmtId="0" fontId="35" fillId="0" borderId="11" xfId="12" applyBorder="1" applyAlignment="1">
      <alignment horizontal="center"/>
    </xf>
    <xf numFmtId="0" fontId="35" fillId="0" borderId="36" xfId="12" applyBorder="1" applyAlignment="1">
      <alignment horizontal="center"/>
    </xf>
    <xf numFmtId="0" fontId="35" fillId="0" borderId="46" xfId="12" applyBorder="1" applyAlignment="1">
      <alignment horizontal="center"/>
    </xf>
    <xf numFmtId="0" fontId="35" fillId="0" borderId="47" xfId="12" applyBorder="1" applyAlignment="1">
      <alignment horizontal="center"/>
    </xf>
    <xf numFmtId="0" fontId="35" fillId="0" borderId="9" xfId="12" applyBorder="1" applyAlignment="1">
      <alignment horizontal="center"/>
    </xf>
    <xf numFmtId="0" fontId="35" fillId="0" borderId="43" xfId="12" applyFill="1" applyBorder="1" applyAlignment="1">
      <alignment horizontal="right"/>
    </xf>
    <xf numFmtId="0" fontId="35" fillId="0" borderId="33" xfId="12" applyFill="1" applyBorder="1" applyAlignment="1">
      <alignment horizontal="right"/>
    </xf>
    <xf numFmtId="0" fontId="35" fillId="0" borderId="56" xfId="12" applyFill="1" applyBorder="1" applyAlignment="1">
      <alignment horizontal="right"/>
    </xf>
    <xf numFmtId="0" fontId="35" fillId="0" borderId="48" xfId="12" applyBorder="1" applyAlignment="1">
      <alignment horizontal="center"/>
    </xf>
    <xf numFmtId="0" fontId="35" fillId="0" borderId="49" xfId="12" applyBorder="1" applyAlignment="1">
      <alignment horizontal="center"/>
    </xf>
    <xf numFmtId="0" fontId="35" fillId="0" borderId="50" xfId="12" applyBorder="1" applyAlignment="1">
      <alignment horizontal="center"/>
    </xf>
    <xf numFmtId="0" fontId="35" fillId="0" borderId="22" xfId="12" applyBorder="1" applyAlignment="1">
      <alignment horizontal="center"/>
    </xf>
    <xf numFmtId="0" fontId="35" fillId="0" borderId="23" xfId="12" applyBorder="1" applyAlignment="1">
      <alignment horizontal="center"/>
    </xf>
    <xf numFmtId="0" fontId="35" fillId="0" borderId="51" xfId="12" applyBorder="1" applyAlignment="1">
      <alignment horizontal="center"/>
    </xf>
    <xf numFmtId="0" fontId="35" fillId="0" borderId="40" xfId="12" applyFill="1" applyBorder="1" applyAlignment="1">
      <alignment horizontal="right"/>
    </xf>
    <xf numFmtId="0" fontId="35" fillId="0" borderId="14" xfId="12" applyFill="1" applyBorder="1" applyAlignment="1">
      <alignment horizontal="right"/>
    </xf>
    <xf numFmtId="0" fontId="32" fillId="0" borderId="6" xfId="12" applyFont="1" applyBorder="1" applyAlignment="1">
      <alignment horizontal="center"/>
    </xf>
    <xf numFmtId="0" fontId="32" fillId="0" borderId="7" xfId="12" applyFont="1" applyBorder="1" applyAlignment="1">
      <alignment horizontal="center"/>
    </xf>
    <xf numFmtId="0" fontId="32" fillId="0" borderId="52" xfId="12" applyFont="1" applyBorder="1" applyAlignment="1">
      <alignment horizontal="center"/>
    </xf>
    <xf numFmtId="2" fontId="35" fillId="0" borderId="43" xfId="12" applyNumberFormat="1" applyBorder="1" applyAlignment="1">
      <alignment horizontal="center"/>
    </xf>
    <xf numFmtId="2" fontId="35" fillId="0" borderId="33" xfId="12" applyNumberFormat="1" applyBorder="1" applyAlignment="1">
      <alignment horizontal="center"/>
    </xf>
    <xf numFmtId="2" fontId="35" fillId="0" borderId="0" xfId="12" applyNumberFormat="1" applyBorder="1" applyAlignment="1">
      <alignment horizontal="center"/>
    </xf>
    <xf numFmtId="2" fontId="35" fillId="0" borderId="53" xfId="12" applyNumberFormat="1" applyBorder="1" applyAlignment="1">
      <alignment horizontal="center"/>
    </xf>
    <xf numFmtId="0" fontId="32" fillId="0" borderId="19" xfId="12" applyFont="1" applyBorder="1" applyAlignment="1">
      <alignment horizontal="center" vertical="center" wrapText="1"/>
    </xf>
    <xf numFmtId="0" fontId="32" fillId="0" borderId="30" xfId="12" applyFont="1" applyBorder="1" applyAlignment="1">
      <alignment horizontal="center" vertical="center" wrapText="1"/>
    </xf>
    <xf numFmtId="0" fontId="32" fillId="0" borderId="18" xfId="12" applyFont="1" applyBorder="1" applyAlignment="1">
      <alignment horizontal="center" vertical="center" wrapText="1"/>
    </xf>
    <xf numFmtId="0" fontId="32" fillId="0" borderId="15" xfId="12" applyFont="1" applyBorder="1" applyAlignment="1">
      <alignment horizontal="center"/>
    </xf>
    <xf numFmtId="0" fontId="32" fillId="0" borderId="16" xfId="12" applyFont="1" applyBorder="1" applyAlignment="1">
      <alignment horizontal="center"/>
    </xf>
    <xf numFmtId="0" fontId="32" fillId="0" borderId="29" xfId="12" applyFont="1" applyBorder="1" applyAlignment="1">
      <alignment horizontal="center"/>
    </xf>
    <xf numFmtId="2" fontId="35" fillId="0" borderId="46" xfId="12" applyNumberFormat="1" applyBorder="1" applyAlignment="1">
      <alignment horizontal="center" vertical="center"/>
    </xf>
    <xf numFmtId="2" fontId="35" fillId="0" borderId="39" xfId="12" applyNumberFormat="1" applyBorder="1" applyAlignment="1">
      <alignment horizontal="center" vertical="center"/>
    </xf>
    <xf numFmtId="0" fontId="35" fillId="0" borderId="47" xfId="12" applyBorder="1" applyAlignment="1">
      <alignment horizontal="center" vertical="center" wrapText="1"/>
    </xf>
    <xf numFmtId="0" fontId="35" fillId="0" borderId="12" xfId="12" applyBorder="1" applyAlignment="1">
      <alignment horizontal="center" vertical="center" wrapText="1"/>
    </xf>
    <xf numFmtId="0" fontId="35" fillId="0" borderId="32" xfId="12" applyBorder="1" applyAlignment="1">
      <alignment horizontal="center" vertical="center" wrapText="1"/>
    </xf>
    <xf numFmtId="0" fontId="35" fillId="0" borderId="9" xfId="12" applyBorder="1" applyAlignment="1">
      <alignment horizontal="center" vertical="center" wrapText="1"/>
    </xf>
    <xf numFmtId="0" fontId="35" fillId="0" borderId="21" xfId="12" applyBorder="1" applyAlignment="1">
      <alignment horizontal="center" vertical="center" wrapText="1"/>
    </xf>
    <xf numFmtId="0" fontId="35" fillId="0" borderId="43" xfId="12" applyBorder="1" applyAlignment="1">
      <alignment horizontal="center"/>
    </xf>
    <xf numFmtId="0" fontId="35" fillId="0" borderId="33" xfId="12" applyBorder="1" applyAlignment="1">
      <alignment horizontal="center"/>
    </xf>
    <xf numFmtId="0" fontId="35" fillId="0" borderId="53" xfId="12" applyBorder="1" applyAlignment="1">
      <alignment horizontal="center"/>
    </xf>
    <xf numFmtId="0" fontId="32" fillId="0" borderId="48" xfId="12" applyFont="1" applyBorder="1" applyAlignment="1">
      <alignment horizontal="center" vertical="center" wrapText="1"/>
    </xf>
    <xf numFmtId="0" fontId="32" fillId="0" borderId="49" xfId="12" applyFont="1" applyBorder="1" applyAlignment="1">
      <alignment horizontal="center" vertical="center" wrapText="1"/>
    </xf>
    <xf numFmtId="0" fontId="32" fillId="0" borderId="65" xfId="12" applyFont="1" applyBorder="1" applyAlignment="1">
      <alignment horizontal="center" vertical="center" wrapText="1"/>
    </xf>
    <xf numFmtId="0" fontId="32" fillId="0" borderId="15" xfId="12" applyFont="1" applyBorder="1" applyAlignment="1">
      <alignment horizontal="center" vertical="center" wrapText="1"/>
    </xf>
    <xf numFmtId="0" fontId="32" fillId="0" borderId="16" xfId="12" applyFont="1" applyBorder="1" applyAlignment="1">
      <alignment horizontal="center" vertical="center" wrapText="1"/>
    </xf>
    <xf numFmtId="0" fontId="32" fillId="0" borderId="29" xfId="12" applyFont="1" applyBorder="1" applyAlignment="1">
      <alignment horizontal="center" vertical="center" wrapText="1"/>
    </xf>
    <xf numFmtId="0" fontId="32" fillId="0" borderId="15" xfId="12" applyFont="1" applyBorder="1" applyAlignment="1">
      <alignment horizontal="center" wrapText="1"/>
    </xf>
    <xf numFmtId="0" fontId="32" fillId="0" borderId="16" xfId="12" applyFont="1" applyBorder="1" applyAlignment="1">
      <alignment horizontal="center" wrapText="1"/>
    </xf>
    <xf numFmtId="0" fontId="32" fillId="0" borderId="29" xfId="12" applyFont="1" applyBorder="1" applyAlignment="1">
      <alignment horizontal="center" wrapText="1"/>
    </xf>
    <xf numFmtId="0" fontId="35" fillId="0" borderId="15" xfId="12" applyBorder="1" applyAlignment="1">
      <alignment horizontal="center" wrapText="1"/>
    </xf>
    <xf numFmtId="0" fontId="35" fillId="0" borderId="16" xfId="12" applyBorder="1" applyAlignment="1">
      <alignment horizontal="center" wrapText="1"/>
    </xf>
    <xf numFmtId="0" fontId="35" fillId="0" borderId="29" xfId="12" applyBorder="1" applyAlignment="1">
      <alignment horizontal="center" wrapText="1"/>
    </xf>
    <xf numFmtId="0" fontId="5" fillId="9" borderId="15" xfId="0" applyFont="1" applyFill="1" applyBorder="1" applyAlignment="1">
      <alignment horizontal="center" vertical="center"/>
    </xf>
  </cellXfs>
  <cellStyles count="57">
    <cellStyle name="Hiperlink" xfId="3" builtinId="8"/>
    <cellStyle name="Moeda 2" xfId="15" xr:uid="{00000000-0005-0000-0000-000001000000}"/>
    <cellStyle name="Moeda 3" xfId="16" xr:uid="{00000000-0005-0000-0000-000002000000}"/>
    <cellStyle name="Moeda 4" xfId="11" xr:uid="{00000000-0005-0000-0000-000003000000}"/>
    <cellStyle name="Moeda 5" xfId="17" xr:uid="{00000000-0005-0000-0000-000004000000}"/>
    <cellStyle name="Normal" xfId="0" builtinId="0"/>
    <cellStyle name="Normal 10" xfId="18" xr:uid="{00000000-0005-0000-0000-000006000000}"/>
    <cellStyle name="Normal 11" xfId="19" xr:uid="{00000000-0005-0000-0000-000007000000}"/>
    <cellStyle name="Normal 12" xfId="20" xr:uid="{00000000-0005-0000-0000-000008000000}"/>
    <cellStyle name="Normal 13" xfId="21" xr:uid="{00000000-0005-0000-0000-000009000000}"/>
    <cellStyle name="Normal 14" xfId="22" xr:uid="{00000000-0005-0000-0000-00000A000000}"/>
    <cellStyle name="Normal 15" xfId="23" xr:uid="{00000000-0005-0000-0000-00000B000000}"/>
    <cellStyle name="Normal 16" xfId="24" xr:uid="{00000000-0005-0000-0000-00000C000000}"/>
    <cellStyle name="Normal 17" xfId="25" xr:uid="{00000000-0005-0000-0000-00000D000000}"/>
    <cellStyle name="Normal 18" xfId="26" xr:uid="{00000000-0005-0000-0000-00000E000000}"/>
    <cellStyle name="Normal 19" xfId="27" xr:uid="{00000000-0005-0000-0000-00000F000000}"/>
    <cellStyle name="Normal 2" xfId="5" xr:uid="{00000000-0005-0000-0000-000010000000}"/>
    <cellStyle name="Normal 2 2" xfId="28" xr:uid="{00000000-0005-0000-0000-000011000000}"/>
    <cellStyle name="Normal 2 3" xfId="7" xr:uid="{00000000-0005-0000-0000-000012000000}"/>
    <cellStyle name="Normal 2 3 2" xfId="8" xr:uid="{00000000-0005-0000-0000-000013000000}"/>
    <cellStyle name="Normal 20" xfId="29" xr:uid="{00000000-0005-0000-0000-000014000000}"/>
    <cellStyle name="Normal 21" xfId="30" xr:uid="{00000000-0005-0000-0000-000015000000}"/>
    <cellStyle name="Normal 22" xfId="31" xr:uid="{00000000-0005-0000-0000-000016000000}"/>
    <cellStyle name="Normal 3" xfId="12" xr:uid="{00000000-0005-0000-0000-000017000000}"/>
    <cellStyle name="Normal 4" xfId="32" xr:uid="{00000000-0005-0000-0000-000018000000}"/>
    <cellStyle name="Normal 5" xfId="33" xr:uid="{00000000-0005-0000-0000-000019000000}"/>
    <cellStyle name="Normal 6" xfId="9" xr:uid="{00000000-0005-0000-0000-00001A000000}"/>
    <cellStyle name="Normal 6 2" xfId="34" xr:uid="{00000000-0005-0000-0000-00001B000000}"/>
    <cellStyle name="Normal 7" xfId="35" xr:uid="{00000000-0005-0000-0000-00001C000000}"/>
    <cellStyle name="Normal 8" xfId="36" xr:uid="{00000000-0005-0000-0000-00001D000000}"/>
    <cellStyle name="Normal 9" xfId="37" xr:uid="{00000000-0005-0000-0000-00001E000000}"/>
    <cellStyle name="Porcentagem" xfId="2" builtinId="5"/>
    <cellStyle name="Porcentagem 2" xfId="10" xr:uid="{00000000-0005-0000-0000-000020000000}"/>
    <cellStyle name="Porcentagem 3" xfId="14" xr:uid="{00000000-0005-0000-0000-000021000000}"/>
    <cellStyle name="Separador de milhares 10" xfId="38" xr:uid="{00000000-0005-0000-0000-000023000000}"/>
    <cellStyle name="Separador de milhares 11" xfId="39" xr:uid="{00000000-0005-0000-0000-000024000000}"/>
    <cellStyle name="Separador de milhares 12" xfId="40" xr:uid="{00000000-0005-0000-0000-000025000000}"/>
    <cellStyle name="Separador de milhares 13" xfId="41" xr:uid="{00000000-0005-0000-0000-000026000000}"/>
    <cellStyle name="Separador de milhares 14" xfId="42" xr:uid="{00000000-0005-0000-0000-000027000000}"/>
    <cellStyle name="Separador de milhares 15" xfId="43" xr:uid="{00000000-0005-0000-0000-000028000000}"/>
    <cellStyle name="Separador de milhares 16" xfId="44" xr:uid="{00000000-0005-0000-0000-000029000000}"/>
    <cellStyle name="Separador de milhares 17" xfId="45" xr:uid="{00000000-0005-0000-0000-00002A000000}"/>
    <cellStyle name="Separador de milhares 18" xfId="46" xr:uid="{00000000-0005-0000-0000-00002B000000}"/>
    <cellStyle name="Separador de milhares 19" xfId="47" xr:uid="{00000000-0005-0000-0000-00002C000000}"/>
    <cellStyle name="Separador de milhares 2" xfId="6" xr:uid="{00000000-0005-0000-0000-00002D000000}"/>
    <cellStyle name="Separador de milhares 20" xfId="56" xr:uid="{00000000-0005-0000-0000-00002E000000}"/>
    <cellStyle name="Separador de milhares 3" xfId="13" xr:uid="{00000000-0005-0000-0000-00002F000000}"/>
    <cellStyle name="Separador de milhares 4" xfId="48" xr:uid="{00000000-0005-0000-0000-000030000000}"/>
    <cellStyle name="Separador de milhares 5" xfId="49" xr:uid="{00000000-0005-0000-0000-000031000000}"/>
    <cellStyle name="Separador de milhares 5 2" xfId="50" xr:uid="{00000000-0005-0000-0000-000032000000}"/>
    <cellStyle name="Separador de milhares 6" xfId="51" xr:uid="{00000000-0005-0000-0000-000033000000}"/>
    <cellStyle name="Separador de milhares 7" xfId="52" xr:uid="{00000000-0005-0000-0000-000034000000}"/>
    <cellStyle name="Separador de milhares 8" xfId="53" xr:uid="{00000000-0005-0000-0000-000035000000}"/>
    <cellStyle name="Separador de milhares 9" xfId="54" xr:uid="{00000000-0005-0000-0000-000036000000}"/>
    <cellStyle name="Texto Explicativo" xfId="4" builtinId="53" customBuiltin="1"/>
    <cellStyle name="Vírgula" xfId="1" builtinId="3"/>
    <cellStyle name="Vírgula 2" xfId="55" xr:uid="{00000000-0005-0000-0000-000038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208" name="shapetype_202" hidden="1">
          <a:extLst>
            <a:ext uri="{FF2B5EF4-FFF2-40B4-BE49-F238E27FC236}">
              <a16:creationId xmlns:a16="http://schemas.microsoft.com/office/drawing/2014/main" id="{EFB23316-EEF3-44EC-8EB9-C480255CBDE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206" name="Text Box 182" hidden="1">
          <a:extLst>
            <a:ext uri="{FF2B5EF4-FFF2-40B4-BE49-F238E27FC236}">
              <a16:creationId xmlns:a16="http://schemas.microsoft.com/office/drawing/2014/main" id="{E686E426-CF6A-4996-9029-C621C3A60A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204" name="Text Box 180" hidden="1">
          <a:extLst>
            <a:ext uri="{FF2B5EF4-FFF2-40B4-BE49-F238E27FC236}">
              <a16:creationId xmlns:a16="http://schemas.microsoft.com/office/drawing/2014/main" id="{59F4CF0D-424E-49B7-A423-4728BD54AA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202" name="Text Box 178" hidden="1">
          <a:extLst>
            <a:ext uri="{FF2B5EF4-FFF2-40B4-BE49-F238E27FC236}">
              <a16:creationId xmlns:a16="http://schemas.microsoft.com/office/drawing/2014/main" id="{DC630A08-9B00-40C0-BB28-AC61BDE7FE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200" name="Text Box 176" hidden="1">
          <a:extLst>
            <a:ext uri="{FF2B5EF4-FFF2-40B4-BE49-F238E27FC236}">
              <a16:creationId xmlns:a16="http://schemas.microsoft.com/office/drawing/2014/main" id="{6C5AD356-F80D-4023-B5FF-5EAE2F8B3A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98" name="Text Box 174" hidden="1">
          <a:extLst>
            <a:ext uri="{FF2B5EF4-FFF2-40B4-BE49-F238E27FC236}">
              <a16:creationId xmlns:a16="http://schemas.microsoft.com/office/drawing/2014/main" id="{405BD51C-5466-47F7-8E2A-9B5C952070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96" name="Text Box 172" hidden="1">
          <a:extLst>
            <a:ext uri="{FF2B5EF4-FFF2-40B4-BE49-F238E27FC236}">
              <a16:creationId xmlns:a16="http://schemas.microsoft.com/office/drawing/2014/main" id="{5FF73F0F-F5FD-4148-9D81-21AA33E6986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94" name="Text Box 170" hidden="1">
          <a:extLst>
            <a:ext uri="{FF2B5EF4-FFF2-40B4-BE49-F238E27FC236}">
              <a16:creationId xmlns:a16="http://schemas.microsoft.com/office/drawing/2014/main" id="{13614A65-E15D-44AF-B694-8807E916F8F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92" name="Text Box 168" hidden="1">
          <a:extLst>
            <a:ext uri="{FF2B5EF4-FFF2-40B4-BE49-F238E27FC236}">
              <a16:creationId xmlns:a16="http://schemas.microsoft.com/office/drawing/2014/main" id="{ECF942D0-76CE-4EEB-8673-4753C4893DB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90" name="Text Box 166" hidden="1">
          <a:extLst>
            <a:ext uri="{FF2B5EF4-FFF2-40B4-BE49-F238E27FC236}">
              <a16:creationId xmlns:a16="http://schemas.microsoft.com/office/drawing/2014/main" id="{8C89A91D-E0D7-49F8-B1BC-741DA0D5FE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88" name="Text Box 164" hidden="1">
          <a:extLst>
            <a:ext uri="{FF2B5EF4-FFF2-40B4-BE49-F238E27FC236}">
              <a16:creationId xmlns:a16="http://schemas.microsoft.com/office/drawing/2014/main" id="{C6A79BD4-875B-441A-84D8-D44EF43EA95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86" name="Text Box 162" hidden="1">
          <a:extLst>
            <a:ext uri="{FF2B5EF4-FFF2-40B4-BE49-F238E27FC236}">
              <a16:creationId xmlns:a16="http://schemas.microsoft.com/office/drawing/2014/main" id="{187E6AEA-A7AC-4595-A339-851046F29EF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84" name="Text Box 160" hidden="1">
          <a:extLst>
            <a:ext uri="{FF2B5EF4-FFF2-40B4-BE49-F238E27FC236}">
              <a16:creationId xmlns:a16="http://schemas.microsoft.com/office/drawing/2014/main" id="{D3C56FF5-1A9A-42C0-B99C-936F510AF33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82" name="Text Box 158" hidden="1">
          <a:extLst>
            <a:ext uri="{FF2B5EF4-FFF2-40B4-BE49-F238E27FC236}">
              <a16:creationId xmlns:a16="http://schemas.microsoft.com/office/drawing/2014/main" id="{E0DBA95C-D3FB-4F9D-97A6-0FE649C94B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80" name="Text Box 156" hidden="1">
          <a:extLst>
            <a:ext uri="{FF2B5EF4-FFF2-40B4-BE49-F238E27FC236}">
              <a16:creationId xmlns:a16="http://schemas.microsoft.com/office/drawing/2014/main" id="{D92DAE33-9711-403A-8CFF-60078EA9A1F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78" name="Text Box 154" hidden="1">
          <a:extLst>
            <a:ext uri="{FF2B5EF4-FFF2-40B4-BE49-F238E27FC236}">
              <a16:creationId xmlns:a16="http://schemas.microsoft.com/office/drawing/2014/main" id="{7C711450-83A8-4973-9005-6E8F77BB249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76" name="Text Box 152" hidden="1">
          <a:extLst>
            <a:ext uri="{FF2B5EF4-FFF2-40B4-BE49-F238E27FC236}">
              <a16:creationId xmlns:a16="http://schemas.microsoft.com/office/drawing/2014/main" id="{8E994F1A-D6A0-47E5-BF3A-9B27B7BEB62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74" name="Text Box 150" hidden="1">
          <a:extLst>
            <a:ext uri="{FF2B5EF4-FFF2-40B4-BE49-F238E27FC236}">
              <a16:creationId xmlns:a16="http://schemas.microsoft.com/office/drawing/2014/main" id="{ED002472-9680-4789-B7DF-B96962B5140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72" name="Text Box 148" hidden="1">
          <a:extLst>
            <a:ext uri="{FF2B5EF4-FFF2-40B4-BE49-F238E27FC236}">
              <a16:creationId xmlns:a16="http://schemas.microsoft.com/office/drawing/2014/main" id="{EAA2091F-583A-4AAC-B38F-1CBB1D9B781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70" name="Text Box 146" hidden="1">
          <a:extLst>
            <a:ext uri="{FF2B5EF4-FFF2-40B4-BE49-F238E27FC236}">
              <a16:creationId xmlns:a16="http://schemas.microsoft.com/office/drawing/2014/main" id="{F75A1BD4-5278-4F71-8330-19A90073BF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68" name="Text Box 144" hidden="1">
          <a:extLst>
            <a:ext uri="{FF2B5EF4-FFF2-40B4-BE49-F238E27FC236}">
              <a16:creationId xmlns:a16="http://schemas.microsoft.com/office/drawing/2014/main" id="{07AEF221-B9CC-4AB8-8960-084D880D1DA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66" name="Text Box 142" hidden="1">
          <a:extLst>
            <a:ext uri="{FF2B5EF4-FFF2-40B4-BE49-F238E27FC236}">
              <a16:creationId xmlns:a16="http://schemas.microsoft.com/office/drawing/2014/main" id="{59637116-82FC-455E-B24D-3614E39793C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64" name="Text Box 140" hidden="1">
          <a:extLst>
            <a:ext uri="{FF2B5EF4-FFF2-40B4-BE49-F238E27FC236}">
              <a16:creationId xmlns:a16="http://schemas.microsoft.com/office/drawing/2014/main" id="{955277F7-3754-48E9-9A6E-377C0D315A5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62" name="Text Box 138" hidden="1">
          <a:extLst>
            <a:ext uri="{FF2B5EF4-FFF2-40B4-BE49-F238E27FC236}">
              <a16:creationId xmlns:a16="http://schemas.microsoft.com/office/drawing/2014/main" id="{B15D671F-ADE4-4BA1-9AEB-84489C0D720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60" name="Text Box 136" hidden="1">
          <a:extLst>
            <a:ext uri="{FF2B5EF4-FFF2-40B4-BE49-F238E27FC236}">
              <a16:creationId xmlns:a16="http://schemas.microsoft.com/office/drawing/2014/main" id="{98765DDE-E0F7-4486-93BB-5E2CAF5727A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58" name="Text Box 134" hidden="1">
          <a:extLst>
            <a:ext uri="{FF2B5EF4-FFF2-40B4-BE49-F238E27FC236}">
              <a16:creationId xmlns:a16="http://schemas.microsoft.com/office/drawing/2014/main" id="{18681FA4-6D41-457F-98A5-9D5B51D93A2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56" name="Text Box 132" hidden="1">
          <a:extLst>
            <a:ext uri="{FF2B5EF4-FFF2-40B4-BE49-F238E27FC236}">
              <a16:creationId xmlns:a16="http://schemas.microsoft.com/office/drawing/2014/main" id="{BEE781B1-42AA-4D54-B993-AB61EEF3D8D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54" name="Text Box 130" hidden="1">
          <a:extLst>
            <a:ext uri="{FF2B5EF4-FFF2-40B4-BE49-F238E27FC236}">
              <a16:creationId xmlns:a16="http://schemas.microsoft.com/office/drawing/2014/main" id="{E508F882-A573-4647-AE0A-179BD1DCA0A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52" name="Text Box 128" hidden="1">
          <a:extLst>
            <a:ext uri="{FF2B5EF4-FFF2-40B4-BE49-F238E27FC236}">
              <a16:creationId xmlns:a16="http://schemas.microsoft.com/office/drawing/2014/main" id="{4C177833-B7F5-4163-A98F-4DA17960FCB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50" name="Text Box 126" hidden="1">
          <a:extLst>
            <a:ext uri="{FF2B5EF4-FFF2-40B4-BE49-F238E27FC236}">
              <a16:creationId xmlns:a16="http://schemas.microsoft.com/office/drawing/2014/main" id="{7209335F-C65B-4179-BDB5-ED8B4C4E1B5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48" name="Text Box 124" hidden="1">
          <a:extLst>
            <a:ext uri="{FF2B5EF4-FFF2-40B4-BE49-F238E27FC236}">
              <a16:creationId xmlns:a16="http://schemas.microsoft.com/office/drawing/2014/main" id="{937FEF4E-B998-47FE-AE1B-EB33AEA5C7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46" name="Text Box 122" hidden="1">
          <a:extLst>
            <a:ext uri="{FF2B5EF4-FFF2-40B4-BE49-F238E27FC236}">
              <a16:creationId xmlns:a16="http://schemas.microsoft.com/office/drawing/2014/main" id="{FCED3672-D04A-449A-9164-479DE895D6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44" name="Text Box 120" hidden="1">
          <a:extLst>
            <a:ext uri="{FF2B5EF4-FFF2-40B4-BE49-F238E27FC236}">
              <a16:creationId xmlns:a16="http://schemas.microsoft.com/office/drawing/2014/main" id="{DABBDA39-497E-425D-A73B-37A54577D8C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42" name="Text Box 118" hidden="1">
          <a:extLst>
            <a:ext uri="{FF2B5EF4-FFF2-40B4-BE49-F238E27FC236}">
              <a16:creationId xmlns:a16="http://schemas.microsoft.com/office/drawing/2014/main" id="{DC1BE4CE-916E-4CD5-B3FC-5A19FFCF478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40" name="Text Box 116" hidden="1">
          <a:extLst>
            <a:ext uri="{FF2B5EF4-FFF2-40B4-BE49-F238E27FC236}">
              <a16:creationId xmlns:a16="http://schemas.microsoft.com/office/drawing/2014/main" id="{2DEF0514-C231-4887-826A-FD7CA04E926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38" name="Text Box 114" hidden="1">
          <a:extLst>
            <a:ext uri="{FF2B5EF4-FFF2-40B4-BE49-F238E27FC236}">
              <a16:creationId xmlns:a16="http://schemas.microsoft.com/office/drawing/2014/main" id="{873FF45B-A6D9-4888-A202-3A2731C380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36" name="Text Box 112" hidden="1">
          <a:extLst>
            <a:ext uri="{FF2B5EF4-FFF2-40B4-BE49-F238E27FC236}">
              <a16:creationId xmlns:a16="http://schemas.microsoft.com/office/drawing/2014/main" id="{66A5E0ED-DB87-4837-8321-0D5962D7D26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34" name="Text Box 110" hidden="1">
          <a:extLst>
            <a:ext uri="{FF2B5EF4-FFF2-40B4-BE49-F238E27FC236}">
              <a16:creationId xmlns:a16="http://schemas.microsoft.com/office/drawing/2014/main" id="{9BC39727-F6BD-4E64-A8BE-5D2F2DA633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32" name="Text Box 108" hidden="1">
          <a:extLst>
            <a:ext uri="{FF2B5EF4-FFF2-40B4-BE49-F238E27FC236}">
              <a16:creationId xmlns:a16="http://schemas.microsoft.com/office/drawing/2014/main" id="{35E88EB5-83D6-4306-9E8C-FEBE48C2513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30" name="Text Box 106" hidden="1">
          <a:extLst>
            <a:ext uri="{FF2B5EF4-FFF2-40B4-BE49-F238E27FC236}">
              <a16:creationId xmlns:a16="http://schemas.microsoft.com/office/drawing/2014/main" id="{991EFA25-88A4-464A-8AD1-9BB5C74F9B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28" name="Text Box 104" hidden="1">
          <a:extLst>
            <a:ext uri="{FF2B5EF4-FFF2-40B4-BE49-F238E27FC236}">
              <a16:creationId xmlns:a16="http://schemas.microsoft.com/office/drawing/2014/main" id="{5EEFC52F-A1E2-4806-BA1E-3F6CFEEA542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26" name="Text Box 102" hidden="1">
          <a:extLst>
            <a:ext uri="{FF2B5EF4-FFF2-40B4-BE49-F238E27FC236}">
              <a16:creationId xmlns:a16="http://schemas.microsoft.com/office/drawing/2014/main" id="{02DE9812-486A-46BB-B6B4-4D681CC9ACB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24" name="Text Box 100" hidden="1">
          <a:extLst>
            <a:ext uri="{FF2B5EF4-FFF2-40B4-BE49-F238E27FC236}">
              <a16:creationId xmlns:a16="http://schemas.microsoft.com/office/drawing/2014/main" id="{49BD1974-B4EC-4F00-A271-A248F17F895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22" name="Text Box 98" hidden="1">
          <a:extLst>
            <a:ext uri="{FF2B5EF4-FFF2-40B4-BE49-F238E27FC236}">
              <a16:creationId xmlns:a16="http://schemas.microsoft.com/office/drawing/2014/main" id="{04AACF2A-2977-45F4-A373-AF4351064B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20" name="Text Box 96" hidden="1">
          <a:extLst>
            <a:ext uri="{FF2B5EF4-FFF2-40B4-BE49-F238E27FC236}">
              <a16:creationId xmlns:a16="http://schemas.microsoft.com/office/drawing/2014/main" id="{834E936F-E7C6-4DBB-AC56-D74BF95A623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18" name="Text Box 94" hidden="1">
          <a:extLst>
            <a:ext uri="{FF2B5EF4-FFF2-40B4-BE49-F238E27FC236}">
              <a16:creationId xmlns:a16="http://schemas.microsoft.com/office/drawing/2014/main" id="{112BC11F-A1C1-42DF-9074-822F42258DE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16" name="Text Box 92" hidden="1">
          <a:extLst>
            <a:ext uri="{FF2B5EF4-FFF2-40B4-BE49-F238E27FC236}">
              <a16:creationId xmlns:a16="http://schemas.microsoft.com/office/drawing/2014/main" id="{96972600-66E6-43E7-9CEC-356CEFA50BE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14" name="Text Box 90" hidden="1">
          <a:extLst>
            <a:ext uri="{FF2B5EF4-FFF2-40B4-BE49-F238E27FC236}">
              <a16:creationId xmlns:a16="http://schemas.microsoft.com/office/drawing/2014/main" id="{D22321B7-9B6E-486C-B05C-7F8859A00E3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12" name="Text Box 88" hidden="1">
          <a:extLst>
            <a:ext uri="{FF2B5EF4-FFF2-40B4-BE49-F238E27FC236}">
              <a16:creationId xmlns:a16="http://schemas.microsoft.com/office/drawing/2014/main" id="{5524DEAA-3278-44EA-983D-BC8EE46DD1A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10" name="Text Box 86" hidden="1">
          <a:extLst>
            <a:ext uri="{FF2B5EF4-FFF2-40B4-BE49-F238E27FC236}">
              <a16:creationId xmlns:a16="http://schemas.microsoft.com/office/drawing/2014/main" id="{0F14D374-5078-4610-8458-08005E2DB73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08" name="Text Box 84" hidden="1">
          <a:extLst>
            <a:ext uri="{FF2B5EF4-FFF2-40B4-BE49-F238E27FC236}">
              <a16:creationId xmlns:a16="http://schemas.microsoft.com/office/drawing/2014/main" id="{D6424212-05F6-405C-8F9D-D6C249A248D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06" name="Text Box 82" hidden="1">
          <a:extLst>
            <a:ext uri="{FF2B5EF4-FFF2-40B4-BE49-F238E27FC236}">
              <a16:creationId xmlns:a16="http://schemas.microsoft.com/office/drawing/2014/main" id="{227773C7-EB37-45DB-9A29-D60EC2581A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04" name="Text Box 80" hidden="1">
          <a:extLst>
            <a:ext uri="{FF2B5EF4-FFF2-40B4-BE49-F238E27FC236}">
              <a16:creationId xmlns:a16="http://schemas.microsoft.com/office/drawing/2014/main" id="{9221ACBA-BADE-4D1C-B3EF-23E54343642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02" name="Text Box 78" hidden="1">
          <a:extLst>
            <a:ext uri="{FF2B5EF4-FFF2-40B4-BE49-F238E27FC236}">
              <a16:creationId xmlns:a16="http://schemas.microsoft.com/office/drawing/2014/main" id="{0217DD4B-7E30-47FD-88EC-0026E586CF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100" name="Text Box 76" hidden="1">
          <a:extLst>
            <a:ext uri="{FF2B5EF4-FFF2-40B4-BE49-F238E27FC236}">
              <a16:creationId xmlns:a16="http://schemas.microsoft.com/office/drawing/2014/main" id="{252C1D28-C0B7-483A-BB2B-F1555B19216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98" name="Text Box 74" hidden="1">
          <a:extLst>
            <a:ext uri="{FF2B5EF4-FFF2-40B4-BE49-F238E27FC236}">
              <a16:creationId xmlns:a16="http://schemas.microsoft.com/office/drawing/2014/main" id="{5BC6DBD8-9EA5-4755-B49C-3E5414BAE11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96" name="Text Box 72" hidden="1">
          <a:extLst>
            <a:ext uri="{FF2B5EF4-FFF2-40B4-BE49-F238E27FC236}">
              <a16:creationId xmlns:a16="http://schemas.microsoft.com/office/drawing/2014/main" id="{E1FA93CE-18AE-4F15-929D-3CC2A99E89D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94" name="Text Box 70" hidden="1">
          <a:extLst>
            <a:ext uri="{FF2B5EF4-FFF2-40B4-BE49-F238E27FC236}">
              <a16:creationId xmlns:a16="http://schemas.microsoft.com/office/drawing/2014/main" id="{924BB1E2-61ED-42AF-A8E0-4DA846AE62F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92" name="Text Box 68" hidden="1">
          <a:extLst>
            <a:ext uri="{FF2B5EF4-FFF2-40B4-BE49-F238E27FC236}">
              <a16:creationId xmlns:a16="http://schemas.microsoft.com/office/drawing/2014/main" id="{78F451B5-C81E-43E4-865A-1BD13D3079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90" name="Text Box 66" hidden="1">
          <a:extLst>
            <a:ext uri="{FF2B5EF4-FFF2-40B4-BE49-F238E27FC236}">
              <a16:creationId xmlns:a16="http://schemas.microsoft.com/office/drawing/2014/main" id="{C7295959-93C0-4676-B344-4628EA0478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88" name="Text Box 64" hidden="1">
          <a:extLst>
            <a:ext uri="{FF2B5EF4-FFF2-40B4-BE49-F238E27FC236}">
              <a16:creationId xmlns:a16="http://schemas.microsoft.com/office/drawing/2014/main" id="{68A4EDEA-0512-43C7-AE68-CED9F147216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86" name="Text Box 62" hidden="1">
          <a:extLst>
            <a:ext uri="{FF2B5EF4-FFF2-40B4-BE49-F238E27FC236}">
              <a16:creationId xmlns:a16="http://schemas.microsoft.com/office/drawing/2014/main" id="{4C34C7CA-97E3-46BD-8375-EC0A8B78011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84" name="Text Box 60" hidden="1">
          <a:extLst>
            <a:ext uri="{FF2B5EF4-FFF2-40B4-BE49-F238E27FC236}">
              <a16:creationId xmlns:a16="http://schemas.microsoft.com/office/drawing/2014/main" id="{5FB0C9AE-86D4-42E8-AA6D-386F2FE5951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82" name="Text Box 58" hidden="1">
          <a:extLst>
            <a:ext uri="{FF2B5EF4-FFF2-40B4-BE49-F238E27FC236}">
              <a16:creationId xmlns:a16="http://schemas.microsoft.com/office/drawing/2014/main" id="{799AC36C-62FE-4CD2-8728-86F34CD0F1F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80" name="Text Box 56" hidden="1">
          <a:extLst>
            <a:ext uri="{FF2B5EF4-FFF2-40B4-BE49-F238E27FC236}">
              <a16:creationId xmlns:a16="http://schemas.microsoft.com/office/drawing/2014/main" id="{7F4BDB80-1BD5-4733-A5FE-8679D9728DC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78" name="Text Box 54" hidden="1">
          <a:extLst>
            <a:ext uri="{FF2B5EF4-FFF2-40B4-BE49-F238E27FC236}">
              <a16:creationId xmlns:a16="http://schemas.microsoft.com/office/drawing/2014/main" id="{DC4371E6-AA79-4E53-A9E8-F2DBF27D437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76" name="Text Box 52" hidden="1">
          <a:extLst>
            <a:ext uri="{FF2B5EF4-FFF2-40B4-BE49-F238E27FC236}">
              <a16:creationId xmlns:a16="http://schemas.microsoft.com/office/drawing/2014/main" id="{62E01AA6-5E02-4F67-B270-C12973E6DA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74" name="Text Box 50" hidden="1">
          <a:extLst>
            <a:ext uri="{FF2B5EF4-FFF2-40B4-BE49-F238E27FC236}">
              <a16:creationId xmlns:a16="http://schemas.microsoft.com/office/drawing/2014/main" id="{18A76FC0-5B57-4936-95CF-55C136367D1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72" name="Text Box 48" hidden="1">
          <a:extLst>
            <a:ext uri="{FF2B5EF4-FFF2-40B4-BE49-F238E27FC236}">
              <a16:creationId xmlns:a16="http://schemas.microsoft.com/office/drawing/2014/main" id="{CC8925CC-5E5D-49E6-8E2E-E3DABAD7CDB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70" name="Text Box 46" hidden="1">
          <a:extLst>
            <a:ext uri="{FF2B5EF4-FFF2-40B4-BE49-F238E27FC236}">
              <a16:creationId xmlns:a16="http://schemas.microsoft.com/office/drawing/2014/main" id="{6A3AFC88-4D55-48C4-A41A-D8295946A56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68" name="Text Box 44" hidden="1">
          <a:extLst>
            <a:ext uri="{FF2B5EF4-FFF2-40B4-BE49-F238E27FC236}">
              <a16:creationId xmlns:a16="http://schemas.microsoft.com/office/drawing/2014/main" id="{0F165BC6-3DA5-4762-A0E7-78BC61A899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66" name="Text Box 42" hidden="1">
          <a:extLst>
            <a:ext uri="{FF2B5EF4-FFF2-40B4-BE49-F238E27FC236}">
              <a16:creationId xmlns:a16="http://schemas.microsoft.com/office/drawing/2014/main" id="{8098E7A9-A093-4640-8846-560CDFCF2E3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64" name="Text Box 40" hidden="1">
          <a:extLst>
            <a:ext uri="{FF2B5EF4-FFF2-40B4-BE49-F238E27FC236}">
              <a16:creationId xmlns:a16="http://schemas.microsoft.com/office/drawing/2014/main" id="{88F3489A-A637-4419-A0F7-4F1F66D0A2A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62" name="Text Box 38" hidden="1">
          <a:extLst>
            <a:ext uri="{FF2B5EF4-FFF2-40B4-BE49-F238E27FC236}">
              <a16:creationId xmlns:a16="http://schemas.microsoft.com/office/drawing/2014/main" id="{1D96FA53-BA57-477D-8BA6-42FD0127824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60" name="Text Box 36" hidden="1">
          <a:extLst>
            <a:ext uri="{FF2B5EF4-FFF2-40B4-BE49-F238E27FC236}">
              <a16:creationId xmlns:a16="http://schemas.microsoft.com/office/drawing/2014/main" id="{EF07A180-33CA-4192-A5F0-188D2EF3CD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58" name="Text Box 34" hidden="1">
          <a:extLst>
            <a:ext uri="{FF2B5EF4-FFF2-40B4-BE49-F238E27FC236}">
              <a16:creationId xmlns:a16="http://schemas.microsoft.com/office/drawing/2014/main" id="{B956F42B-DB09-40C4-9622-CB84B352EFE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56" name="Text Box 32" hidden="1">
          <a:extLst>
            <a:ext uri="{FF2B5EF4-FFF2-40B4-BE49-F238E27FC236}">
              <a16:creationId xmlns:a16="http://schemas.microsoft.com/office/drawing/2014/main" id="{A37D6DDE-A57C-4F52-9660-B3EB5D01B8F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54" name="Text Box 30" hidden="1">
          <a:extLst>
            <a:ext uri="{FF2B5EF4-FFF2-40B4-BE49-F238E27FC236}">
              <a16:creationId xmlns:a16="http://schemas.microsoft.com/office/drawing/2014/main" id="{00E24F05-B71E-405F-9DEB-6E7CFFD6472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52" name="Text Box 28" hidden="1">
          <a:extLst>
            <a:ext uri="{FF2B5EF4-FFF2-40B4-BE49-F238E27FC236}">
              <a16:creationId xmlns:a16="http://schemas.microsoft.com/office/drawing/2014/main" id="{0A9276E1-EC99-4325-BFD4-39A914200E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50" name="Text Box 26" hidden="1">
          <a:extLst>
            <a:ext uri="{FF2B5EF4-FFF2-40B4-BE49-F238E27FC236}">
              <a16:creationId xmlns:a16="http://schemas.microsoft.com/office/drawing/2014/main" id="{A3068215-D894-462C-9322-F0754A119F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48" name="Text Box 24" hidden="1">
          <a:extLst>
            <a:ext uri="{FF2B5EF4-FFF2-40B4-BE49-F238E27FC236}">
              <a16:creationId xmlns:a16="http://schemas.microsoft.com/office/drawing/2014/main" id="{8455F458-C1A2-468F-B4A8-88AFABAA091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46" name="Text Box 22" hidden="1">
          <a:extLst>
            <a:ext uri="{FF2B5EF4-FFF2-40B4-BE49-F238E27FC236}">
              <a16:creationId xmlns:a16="http://schemas.microsoft.com/office/drawing/2014/main" id="{DC973473-7FE8-4D3C-8E96-BBEF33882BC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44" name="Text Box 20" hidden="1">
          <a:extLst>
            <a:ext uri="{FF2B5EF4-FFF2-40B4-BE49-F238E27FC236}">
              <a16:creationId xmlns:a16="http://schemas.microsoft.com/office/drawing/2014/main" id="{9009C3F8-B7BF-4E79-B7AD-120A4476AB4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42" name="Text Box 18" hidden="1">
          <a:extLst>
            <a:ext uri="{FF2B5EF4-FFF2-40B4-BE49-F238E27FC236}">
              <a16:creationId xmlns:a16="http://schemas.microsoft.com/office/drawing/2014/main" id="{5222C0E8-333D-4CFC-906B-976A1BA958F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40" name="Text Box 16" hidden="1">
          <a:extLst>
            <a:ext uri="{FF2B5EF4-FFF2-40B4-BE49-F238E27FC236}">
              <a16:creationId xmlns:a16="http://schemas.microsoft.com/office/drawing/2014/main" id="{D6AC3B1C-385F-4649-BFC0-95A794D22B1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A3FCCAC3-494B-4CA6-B964-A4927331AC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36" name="Text Box 12" hidden="1">
          <a:extLst>
            <a:ext uri="{FF2B5EF4-FFF2-40B4-BE49-F238E27FC236}">
              <a16:creationId xmlns:a16="http://schemas.microsoft.com/office/drawing/2014/main" id="{AF0E767D-5EA4-4DAE-85B9-8657E85B7B0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34" name="Text Box 10" hidden="1">
          <a:extLst>
            <a:ext uri="{FF2B5EF4-FFF2-40B4-BE49-F238E27FC236}">
              <a16:creationId xmlns:a16="http://schemas.microsoft.com/office/drawing/2014/main" id="{BD875A7D-8692-460E-AEF3-46E5F0840E0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32" name="Text Box 8" hidden="1">
          <a:extLst>
            <a:ext uri="{FF2B5EF4-FFF2-40B4-BE49-F238E27FC236}">
              <a16:creationId xmlns:a16="http://schemas.microsoft.com/office/drawing/2014/main" id="{5B3A0F0A-97A5-4408-8BBF-4CD680B2FB1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30" name="Text Box 6" hidden="1">
          <a:extLst>
            <a:ext uri="{FF2B5EF4-FFF2-40B4-BE49-F238E27FC236}">
              <a16:creationId xmlns:a16="http://schemas.microsoft.com/office/drawing/2014/main" id="{53E92796-5EA8-49BE-BB0C-F7163BD3241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id="{12E3B849-F8D6-4BDA-80C4-E3D2F61BF7E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419100</xdr:colOff>
      <xdr:row>23</xdr:row>
      <xdr:rowOff>142875</xdr:rowOff>
    </xdr:to>
    <xdr:sp macro="" textlink="">
      <xdr:nvSpPr>
        <xdr:cNvPr id="1026" name="Text Box 2" hidden="1">
          <a:extLst>
            <a:ext uri="{FF2B5EF4-FFF2-40B4-BE49-F238E27FC236}">
              <a16:creationId xmlns:a16="http://schemas.microsoft.com/office/drawing/2014/main" id="{BEE409DF-8666-4BB7-A67F-8BA91F4A3A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3390900" cy="259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62" name="shapetype_202" hidden="1">
          <a:extLst>
            <a:ext uri="{FF2B5EF4-FFF2-40B4-BE49-F238E27FC236}">
              <a16:creationId xmlns:a16="http://schemas.microsoft.com/office/drawing/2014/main" id="{252F9CBB-4A70-41A2-AFD9-31A0096C4C8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60" name="Text Box 12" hidden="1">
          <a:extLst>
            <a:ext uri="{FF2B5EF4-FFF2-40B4-BE49-F238E27FC236}">
              <a16:creationId xmlns:a16="http://schemas.microsoft.com/office/drawing/2014/main" id="{D180B816-58E8-48C2-8330-7117D847DB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58" name="Text Box 10" hidden="1">
          <a:extLst>
            <a:ext uri="{FF2B5EF4-FFF2-40B4-BE49-F238E27FC236}">
              <a16:creationId xmlns:a16="http://schemas.microsoft.com/office/drawing/2014/main" id="{6FB26778-179F-46AD-A913-89C69F9103A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56" name="Text Box 8" hidden="1">
          <a:extLst>
            <a:ext uri="{FF2B5EF4-FFF2-40B4-BE49-F238E27FC236}">
              <a16:creationId xmlns:a16="http://schemas.microsoft.com/office/drawing/2014/main" id="{2B2417F9-CFA1-4B13-9B22-AB16D328F11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54" name="Text Box 6" hidden="1">
          <a:extLst>
            <a:ext uri="{FF2B5EF4-FFF2-40B4-BE49-F238E27FC236}">
              <a16:creationId xmlns:a16="http://schemas.microsoft.com/office/drawing/2014/main" id="{94D13D92-7AE5-49E2-8167-48D225EF1F1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52" name="Text Box 4" hidden="1">
          <a:extLst>
            <a:ext uri="{FF2B5EF4-FFF2-40B4-BE49-F238E27FC236}">
              <a16:creationId xmlns:a16="http://schemas.microsoft.com/office/drawing/2014/main" id="{588548A4-73D7-48BF-BBEF-9BC1D32122A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5</xdr:row>
      <xdr:rowOff>123825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BE315F4D-D62C-4051-B528-8B7164215C6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4772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133200</xdr:colOff>
      <xdr:row>4</xdr:row>
      <xdr:rowOff>28440</xdr:rowOff>
    </xdr:from>
    <xdr:to>
      <xdr:col>0</xdr:col>
      <xdr:colOff>1418760</xdr:colOff>
      <xdr:row>6</xdr:row>
      <xdr:rowOff>66240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52040"/>
          <a:ext cx="1285560" cy="37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85680</xdr:colOff>
      <xdr:row>7</xdr:row>
      <xdr:rowOff>9360</xdr:rowOff>
    </xdr:from>
    <xdr:to>
      <xdr:col>0</xdr:col>
      <xdr:colOff>2123640</xdr:colOff>
      <xdr:row>9</xdr:row>
      <xdr:rowOff>56520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35880"/>
          <a:ext cx="2037960" cy="382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49"/>
  <sheetViews>
    <sheetView tabSelected="1" workbookViewId="0"/>
  </sheetViews>
  <sheetFormatPr defaultRowHeight="12.75" x14ac:dyDescent="0.2"/>
  <cols>
    <col min="1" max="1" width="44.5703125" style="155" customWidth="1"/>
    <col min="2" max="2" width="16" style="155" customWidth="1"/>
    <col min="3" max="3" width="11.85546875" style="155" customWidth="1"/>
    <col min="4" max="4" width="14.7109375" style="2" customWidth="1"/>
    <col min="5" max="5" width="15.42578125" style="2" customWidth="1"/>
    <col min="6" max="6" width="13.28515625" style="2" customWidth="1"/>
    <col min="7" max="7" width="28.140625" style="2" customWidth="1"/>
    <col min="8" max="8" width="9.140625" style="155" customWidth="1"/>
    <col min="9" max="9" width="14.5703125" style="155" customWidth="1"/>
    <col min="10" max="10" width="13.42578125" style="155" customWidth="1"/>
    <col min="11" max="1025" width="9.140625" style="155" customWidth="1"/>
  </cols>
  <sheetData>
    <row r="1" spans="1:7" ht="15.75" x14ac:dyDescent="0.2">
      <c r="A1" s="3" t="s">
        <v>326</v>
      </c>
    </row>
    <row r="2" spans="1:7" ht="15.75" hidden="1" x14ac:dyDescent="0.2">
      <c r="A2" s="3" t="s">
        <v>0</v>
      </c>
    </row>
    <row r="3" spans="1:7" ht="15.75" hidden="1" x14ac:dyDescent="0.2">
      <c r="A3" s="4" t="s">
        <v>1</v>
      </c>
    </row>
    <row r="4" spans="1:7" ht="15.75" hidden="1" x14ac:dyDescent="0.2">
      <c r="A4" s="4" t="s">
        <v>2</v>
      </c>
    </row>
    <row r="5" spans="1:7" ht="15.75" hidden="1" x14ac:dyDescent="0.2">
      <c r="A5" s="4" t="s">
        <v>3</v>
      </c>
    </row>
    <row r="6" spans="1:7" s="5" customFormat="1" ht="15.6" hidden="1" customHeight="1" x14ac:dyDescent="0.2">
      <c r="A6" s="3" t="s">
        <v>4</v>
      </c>
      <c r="C6" s="15"/>
      <c r="D6" s="15"/>
      <c r="E6" s="15"/>
      <c r="F6" s="15"/>
      <c r="G6" s="7"/>
    </row>
    <row r="7" spans="1:7" s="5" customFormat="1" ht="15.6" hidden="1" customHeight="1" x14ac:dyDescent="0.2">
      <c r="A7" s="8" t="s">
        <v>5</v>
      </c>
      <c r="B7" s="15"/>
      <c r="C7" s="15"/>
      <c r="D7" s="15"/>
      <c r="E7" s="15"/>
      <c r="F7" s="15"/>
      <c r="G7" s="7"/>
    </row>
    <row r="8" spans="1:7" s="5" customFormat="1" ht="15.6" hidden="1" customHeight="1" x14ac:dyDescent="0.2">
      <c r="A8" s="9"/>
      <c r="B8" s="15"/>
      <c r="C8" s="15"/>
      <c r="D8" s="15"/>
      <c r="E8" s="15"/>
      <c r="F8" s="15"/>
      <c r="G8" s="7"/>
    </row>
    <row r="9" spans="1:7" s="5" customFormat="1" ht="15.6" hidden="1" customHeight="1" x14ac:dyDescent="0.2">
      <c r="A9" s="10" t="s">
        <v>6</v>
      </c>
      <c r="B9" s="15"/>
      <c r="C9" s="15"/>
      <c r="D9" s="15"/>
      <c r="E9" s="15"/>
      <c r="F9" s="15"/>
      <c r="G9" s="7"/>
    </row>
    <row r="10" spans="1:7" s="5" customFormat="1" ht="15.6" hidden="1" customHeight="1" x14ac:dyDescent="0.2">
      <c r="A10" s="4" t="s">
        <v>7</v>
      </c>
      <c r="B10" s="15"/>
      <c r="C10" s="15"/>
      <c r="D10" s="15"/>
      <c r="E10" s="15"/>
      <c r="F10" s="15"/>
      <c r="G10" s="7"/>
    </row>
    <row r="11" spans="1:7" s="5" customFormat="1" ht="16.5" hidden="1" customHeight="1" x14ac:dyDescent="0.2">
      <c r="A11" s="155"/>
      <c r="B11" s="11"/>
      <c r="C11" s="11"/>
      <c r="D11" s="7"/>
      <c r="E11" s="7"/>
      <c r="F11" s="7"/>
      <c r="G11" s="7"/>
    </row>
    <row r="12" spans="1:7" s="5" customFormat="1" ht="16.5" customHeight="1" thickBot="1" x14ac:dyDescent="0.25">
      <c r="A12" s="196" t="s">
        <v>426</v>
      </c>
      <c r="B12" s="11"/>
      <c r="C12" s="11"/>
      <c r="D12" s="7"/>
      <c r="E12" s="7"/>
      <c r="F12" s="7"/>
      <c r="G12" s="7"/>
    </row>
    <row r="13" spans="1:7" s="247" customFormat="1" ht="18" x14ac:dyDescent="0.2">
      <c r="A13" s="576" t="s">
        <v>427</v>
      </c>
      <c r="B13" s="576"/>
      <c r="C13" s="576"/>
      <c r="D13" s="576"/>
      <c r="E13" s="576"/>
      <c r="F13" s="576"/>
      <c r="G13" s="12"/>
    </row>
    <row r="14" spans="1:7" s="247" customFormat="1" ht="21.75" customHeight="1" x14ac:dyDescent="0.2">
      <c r="A14" s="577" t="s">
        <v>8</v>
      </c>
      <c r="B14" s="577"/>
      <c r="C14" s="577"/>
      <c r="D14" s="577"/>
      <c r="E14" s="577"/>
      <c r="F14" s="577"/>
      <c r="G14" s="12"/>
    </row>
    <row r="15" spans="1:7" s="5" customFormat="1" ht="10.9" customHeight="1" thickBot="1" x14ac:dyDescent="0.25">
      <c r="A15" s="14"/>
      <c r="B15" s="15"/>
      <c r="C15" s="15"/>
      <c r="D15" s="7"/>
      <c r="E15" s="7"/>
      <c r="F15" s="16"/>
      <c r="G15" s="7"/>
    </row>
    <row r="16" spans="1:7" s="5" customFormat="1" ht="15.75" customHeight="1" thickBot="1" x14ac:dyDescent="0.25">
      <c r="A16" s="578" t="s">
        <v>9</v>
      </c>
      <c r="B16" s="578"/>
      <c r="C16" s="578"/>
      <c r="D16" s="578"/>
      <c r="E16" s="578"/>
      <c r="F16" s="578"/>
      <c r="G16" s="7"/>
    </row>
    <row r="17" spans="1:7" s="5" customFormat="1" ht="15.75" customHeight="1" x14ac:dyDescent="0.2">
      <c r="A17" s="17" t="s">
        <v>10</v>
      </c>
      <c r="B17" s="18"/>
      <c r="C17" s="18"/>
      <c r="D17" s="19"/>
      <c r="E17" s="20" t="s">
        <v>11</v>
      </c>
      <c r="F17" s="21" t="s">
        <v>12</v>
      </c>
      <c r="G17" s="7"/>
    </row>
    <row r="18" spans="1:7" s="28" customFormat="1" ht="15.75" customHeight="1" x14ac:dyDescent="0.2">
      <c r="A18" s="22" t="str">
        <f>A56</f>
        <v>1. Mão-de-obra</v>
      </c>
      <c r="B18" s="23"/>
      <c r="C18" s="24"/>
      <c r="D18" s="24"/>
      <c r="E18" s="25">
        <f>+F154</f>
        <v>1169.495867194805</v>
      </c>
      <c r="F18" s="26">
        <f t="shared" ref="F18:F38" si="0">IFERROR(E18/$E$39,0)</f>
        <v>0.31470148115529833</v>
      </c>
      <c r="G18" s="27"/>
    </row>
    <row r="19" spans="1:7" s="5" customFormat="1" ht="15.75" customHeight="1" x14ac:dyDescent="0.2">
      <c r="A19" s="29" t="str">
        <f>A58</f>
        <v>1.1. Coletor Turno Dia</v>
      </c>
      <c r="B19" s="30"/>
      <c r="C19" s="31"/>
      <c r="D19" s="31"/>
      <c r="E19" s="32">
        <f>F69</f>
        <v>604.45900199999994</v>
      </c>
      <c r="F19" s="33">
        <f t="shared" si="0"/>
        <v>0.16265482295660602</v>
      </c>
      <c r="G19" s="7"/>
    </row>
    <row r="20" spans="1:7" s="5" customFormat="1" ht="15.75" customHeight="1" x14ac:dyDescent="0.2">
      <c r="A20" s="29" t="str">
        <f>A71</f>
        <v xml:space="preserve">1.2. Supervisor dos serviços </v>
      </c>
      <c r="B20" s="30"/>
      <c r="C20" s="31"/>
      <c r="D20" s="31"/>
      <c r="E20" s="32">
        <f>F88</f>
        <v>142.07900928571428</v>
      </c>
      <c r="F20" s="33">
        <f t="shared" si="0"/>
        <v>3.8232263933125843E-2</v>
      </c>
      <c r="G20" s="7"/>
    </row>
    <row r="21" spans="1:7" s="5" customFormat="1" ht="15.75" customHeight="1" x14ac:dyDescent="0.2">
      <c r="A21" s="29" t="str">
        <f>A90</f>
        <v>1.3. Motorista Turno do Dia</v>
      </c>
      <c r="B21" s="30"/>
      <c r="C21" s="31"/>
      <c r="D21" s="31"/>
      <c r="E21" s="32">
        <f>F103</f>
        <v>312.54268500000001</v>
      </c>
      <c r="F21" s="33">
        <f t="shared" si="0"/>
        <v>8.4102602371462887E-2</v>
      </c>
      <c r="G21" s="7"/>
    </row>
    <row r="22" spans="1:7" s="5" customFormat="1" ht="15.75" hidden="1" customHeight="1" x14ac:dyDescent="0.2">
      <c r="A22" s="29" t="str">
        <f>A106</f>
        <v xml:space="preserve">1.4. Operador de Máquinas </v>
      </c>
      <c r="B22" s="30"/>
      <c r="C22" s="31"/>
      <c r="D22" s="31"/>
      <c r="E22" s="32">
        <f>F125</f>
        <v>0</v>
      </c>
      <c r="F22" s="33">
        <f t="shared" si="0"/>
        <v>0</v>
      </c>
      <c r="G22" s="7"/>
    </row>
    <row r="23" spans="1:7" s="5" customFormat="1" ht="15.75" customHeight="1" x14ac:dyDescent="0.2">
      <c r="A23" s="29" t="str">
        <f>A127</f>
        <v>1.4. Vale Transporte</v>
      </c>
      <c r="B23" s="30"/>
      <c r="C23" s="31"/>
      <c r="D23" s="31"/>
      <c r="E23" s="32">
        <f>F133</f>
        <v>8.0840800000000037</v>
      </c>
      <c r="F23" s="33">
        <f t="shared" si="0"/>
        <v>2.1753577940213063E-3</v>
      </c>
      <c r="G23" s="7"/>
    </row>
    <row r="24" spans="1:7" s="5" customFormat="1" ht="15.75" customHeight="1" x14ac:dyDescent="0.2">
      <c r="A24" s="29" t="str">
        <f>A135</f>
        <v>1.5. Vale-refeição (diário)</v>
      </c>
      <c r="B24" s="30"/>
      <c r="C24" s="31"/>
      <c r="D24" s="31"/>
      <c r="E24" s="32">
        <f>F140</f>
        <v>92.878000000000014</v>
      </c>
      <c r="F24" s="33">
        <f t="shared" si="0"/>
        <v>2.4992687008677648E-2</v>
      </c>
      <c r="G24" s="7"/>
    </row>
    <row r="25" spans="1:7" s="5" customFormat="1" ht="15.75" customHeight="1" x14ac:dyDescent="0.2">
      <c r="A25" s="29" t="str">
        <f>A142</f>
        <v>1.6. Auxílio Alimentação (mensal)</v>
      </c>
      <c r="B25" s="30"/>
      <c r="C25" s="31"/>
      <c r="D25" s="31"/>
      <c r="E25" s="32">
        <f>F146</f>
        <v>6.6130909090909107</v>
      </c>
      <c r="F25" s="33">
        <f t="shared" si="0"/>
        <v>1.7795270273998217E-3</v>
      </c>
      <c r="G25" s="7"/>
    </row>
    <row r="26" spans="1:7" s="5" customFormat="1" ht="15.75" customHeight="1" x14ac:dyDescent="0.2">
      <c r="A26" s="29" t="str">
        <f>A148</f>
        <v xml:space="preserve">1.7. Plano de Benefício Social  </v>
      </c>
      <c r="B26" s="30"/>
      <c r="C26" s="31"/>
      <c r="D26" s="31"/>
      <c r="E26" s="32">
        <f>F152</f>
        <v>2.84</v>
      </c>
      <c r="F26" s="33">
        <f t="shared" si="0"/>
        <v>7.6422006400487207E-4</v>
      </c>
      <c r="G26" s="7"/>
    </row>
    <row r="27" spans="1:7" s="28" customFormat="1" ht="15.75" customHeight="1" x14ac:dyDescent="0.2">
      <c r="A27" s="579" t="str">
        <f>A156</f>
        <v>2. Uniformes e Equipamentos de Proteção Individual</v>
      </c>
      <c r="B27" s="579"/>
      <c r="C27" s="579"/>
      <c r="D27" s="24"/>
      <c r="E27" s="25">
        <f>+F190</f>
        <v>33.11363636363636</v>
      </c>
      <c r="F27" s="26">
        <f t="shared" si="0"/>
        <v>8.9106004581874076E-3</v>
      </c>
      <c r="G27" s="27"/>
    </row>
    <row r="28" spans="1:7" s="28" customFormat="1" ht="15.75" customHeight="1" x14ac:dyDescent="0.2">
      <c r="A28" s="325" t="str">
        <f>A192</f>
        <v>3. Veículos e Equipamentos</v>
      </c>
      <c r="B28" s="35"/>
      <c r="C28" s="24"/>
      <c r="D28" s="24"/>
      <c r="E28" s="25">
        <f>+F273</f>
        <v>560.46859045754036</v>
      </c>
      <c r="F28" s="26">
        <f t="shared" si="0"/>
        <v>0.15081737396907816</v>
      </c>
      <c r="G28" s="27"/>
    </row>
    <row r="29" spans="1:7" s="5" customFormat="1" ht="15.75" customHeight="1" x14ac:dyDescent="0.2">
      <c r="A29" s="36" t="str">
        <f>A194</f>
        <v xml:space="preserve">3.1. Veículo Coletor com caçamba/gaiola </v>
      </c>
      <c r="B29" s="37"/>
      <c r="C29" s="31"/>
      <c r="D29" s="31"/>
      <c r="E29" s="32">
        <f>SUM(E30:E35)</f>
        <v>560.46859045754036</v>
      </c>
      <c r="F29" s="38">
        <f t="shared" si="0"/>
        <v>0.15081737396907816</v>
      </c>
      <c r="G29" s="7"/>
    </row>
    <row r="30" spans="1:7" s="5" customFormat="1" ht="15.75" customHeight="1" x14ac:dyDescent="0.2">
      <c r="A30" s="36" t="str">
        <f>A196</f>
        <v>3.1.1. Depreciação</v>
      </c>
      <c r="B30" s="37"/>
      <c r="C30" s="31"/>
      <c r="D30" s="31"/>
      <c r="E30" s="32">
        <f>F210</f>
        <v>57.155555555555559</v>
      </c>
      <c r="F30" s="38">
        <f t="shared" si="0"/>
        <v>1.5380078283415737E-2</v>
      </c>
      <c r="G30" s="7"/>
    </row>
    <row r="31" spans="1:7" s="5" customFormat="1" ht="15.75" customHeight="1" x14ac:dyDescent="0.2">
      <c r="A31" s="36" t="str">
        <f>A212</f>
        <v>3.1.2. Remuneração do Capital</v>
      </c>
      <c r="B31" s="37"/>
      <c r="C31" s="31"/>
      <c r="D31" s="31"/>
      <c r="E31" s="32">
        <f>F228</f>
        <v>26.938333333333333</v>
      </c>
      <c r="F31" s="38">
        <f t="shared" si="0"/>
        <v>7.2488784592199228E-3</v>
      </c>
      <c r="G31" s="7"/>
    </row>
    <row r="32" spans="1:7" s="5" customFormat="1" ht="15.75" customHeight="1" x14ac:dyDescent="0.2">
      <c r="A32" s="36" t="str">
        <f>A230</f>
        <v>3.1.3. Impostos e Seguros</v>
      </c>
      <c r="B32" s="37"/>
      <c r="C32" s="31"/>
      <c r="D32" s="31"/>
      <c r="E32" s="32">
        <f>F236</f>
        <v>25.240151515151513</v>
      </c>
      <c r="F32" s="38">
        <f t="shared" si="0"/>
        <v>6.7919120445076621E-3</v>
      </c>
      <c r="G32" s="7"/>
    </row>
    <row r="33" spans="1:7" s="5" customFormat="1" ht="15.75" customHeight="1" x14ac:dyDescent="0.2">
      <c r="A33" s="36" t="str">
        <f>A238</f>
        <v>3.1.4. Consumos</v>
      </c>
      <c r="B33" s="37"/>
      <c r="C33" s="31"/>
      <c r="D33" s="31"/>
      <c r="E33" s="32">
        <f>F256</f>
        <v>292.15231822195</v>
      </c>
      <c r="F33" s="38">
        <f t="shared" si="0"/>
        <v>7.8615726524912111E-2</v>
      </c>
      <c r="G33" s="7"/>
    </row>
    <row r="34" spans="1:7" s="5" customFormat="1" ht="15.75" customHeight="1" x14ac:dyDescent="0.2">
      <c r="A34" s="36" t="str">
        <f>A258</f>
        <v>3.1.5. Manutenção</v>
      </c>
      <c r="B34" s="37"/>
      <c r="C34" s="31"/>
      <c r="D34" s="31"/>
      <c r="E34" s="32">
        <f>F262</f>
        <v>122.31123526000002</v>
      </c>
      <c r="F34" s="38">
        <f t="shared" si="0"/>
        <v>3.2912922548912739E-2</v>
      </c>
      <c r="G34" s="7"/>
    </row>
    <row r="35" spans="1:7" s="5" customFormat="1" ht="15.75" customHeight="1" x14ac:dyDescent="0.2">
      <c r="A35" s="36" t="str">
        <f>A264</f>
        <v>3.1.6. Pneus</v>
      </c>
      <c r="B35" s="37"/>
      <c r="C35" s="31"/>
      <c r="D35" s="31"/>
      <c r="E35" s="32">
        <f>F271</f>
        <v>36.670996571550006</v>
      </c>
      <c r="F35" s="38">
        <f t="shared" si="0"/>
        <v>9.8678561081099979E-3</v>
      </c>
      <c r="G35" s="7"/>
    </row>
    <row r="36" spans="1:7" s="28" customFormat="1" ht="15.75" customHeight="1" x14ac:dyDescent="0.2">
      <c r="A36" s="325" t="str">
        <f>A275</f>
        <v xml:space="preserve">4. Ferramentas e materiais e Destino Final materiais </v>
      </c>
      <c r="B36" s="35"/>
      <c r="C36" s="24"/>
      <c r="D36" s="24"/>
      <c r="E36" s="25">
        <f>+F286</f>
        <v>1207.3516666666667</v>
      </c>
      <c r="F36" s="26">
        <f t="shared" si="0"/>
        <v>0.32488815773816515</v>
      </c>
      <c r="G36" s="27"/>
    </row>
    <row r="37" spans="1:7" s="28" customFormat="1" ht="15.75" customHeight="1" x14ac:dyDescent="0.2">
      <c r="A37" s="325" t="str">
        <f>A288</f>
        <v xml:space="preserve">5. Monitoramento da frota  </v>
      </c>
      <c r="B37" s="35"/>
      <c r="C37" s="24"/>
      <c r="D37" s="24"/>
      <c r="E37" s="25">
        <f>+F297</f>
        <v>20</v>
      </c>
      <c r="F37" s="26">
        <f t="shared" si="0"/>
        <v>5.381831436654029E-3</v>
      </c>
      <c r="G37" s="27"/>
    </row>
    <row r="38" spans="1:7" s="28" customFormat="1" ht="15.75" customHeight="1" thickBot="1" x14ac:dyDescent="0.25">
      <c r="A38" s="325" t="str">
        <f>A301</f>
        <v>5. Benefícios e Despesas Indiretas - BDI</v>
      </c>
      <c r="B38" s="35"/>
      <c r="C38" s="24"/>
      <c r="D38" s="24"/>
      <c r="E38" s="39">
        <f>+F307</f>
        <v>725.77730291767875</v>
      </c>
      <c r="F38" s="26">
        <f t="shared" si="0"/>
        <v>0.19530055524261689</v>
      </c>
      <c r="G38" s="27"/>
    </row>
    <row r="39" spans="1:7" s="5" customFormat="1" ht="15.75" customHeight="1" thickBot="1" x14ac:dyDescent="0.25">
      <c r="A39" s="40" t="s">
        <v>13</v>
      </c>
      <c r="B39" s="41"/>
      <c r="C39" s="42"/>
      <c r="D39" s="42"/>
      <c r="E39" s="43">
        <f>E18+E27+E28+E36+E37+E38</f>
        <v>3716.2070636003273</v>
      </c>
      <c r="F39" s="44">
        <f>F18+F27+F28+F36+F37+F38</f>
        <v>1</v>
      </c>
      <c r="G39" s="7"/>
    </row>
    <row r="42" spans="1:7" s="5" customFormat="1" ht="15" customHeight="1" thickBot="1" x14ac:dyDescent="0.25">
      <c r="A42" s="578" t="s">
        <v>14</v>
      </c>
      <c r="B42" s="578"/>
      <c r="C42" s="578"/>
      <c r="D42" s="578"/>
      <c r="E42" s="578"/>
      <c r="F42" s="2"/>
      <c r="G42" s="7"/>
    </row>
    <row r="43" spans="1:7" s="5" customFormat="1" ht="15" customHeight="1" thickBot="1" x14ac:dyDescent="0.25">
      <c r="A43" s="580" t="s">
        <v>15</v>
      </c>
      <c r="B43" s="580"/>
      <c r="C43" s="580"/>
      <c r="D43" s="580"/>
      <c r="E43" s="45" t="s">
        <v>16</v>
      </c>
      <c r="F43" s="2"/>
      <c r="G43" s="7"/>
    </row>
    <row r="44" spans="1:7" s="5" customFormat="1" ht="15" customHeight="1" x14ac:dyDescent="0.2">
      <c r="A44" s="46" t="str">
        <f>+A58</f>
        <v>1.1. Coletor Turno Dia</v>
      </c>
      <c r="B44" s="47"/>
      <c r="C44" s="47"/>
      <c r="D44" s="48"/>
      <c r="E44" s="49">
        <f>C68</f>
        <v>2</v>
      </c>
      <c r="F44" s="2"/>
      <c r="G44" s="7"/>
    </row>
    <row r="45" spans="1:7" s="5" customFormat="1" ht="15" customHeight="1" x14ac:dyDescent="0.2">
      <c r="A45" s="50" t="str">
        <f>+A71</f>
        <v xml:space="preserve">1.2. Supervisor dos serviços </v>
      </c>
      <c r="B45" s="51"/>
      <c r="C45" s="51"/>
      <c r="D45" s="52"/>
      <c r="E45" s="53">
        <f>C87</f>
        <v>1</v>
      </c>
      <c r="F45" s="2"/>
      <c r="G45" s="7"/>
    </row>
    <row r="46" spans="1:7" s="5" customFormat="1" ht="15" customHeight="1" x14ac:dyDescent="0.2">
      <c r="A46" s="50" t="str">
        <f>+A90</f>
        <v>1.3. Motorista Turno do Dia</v>
      </c>
      <c r="B46" s="51"/>
      <c r="C46" s="51"/>
      <c r="D46" s="52"/>
      <c r="E46" s="53">
        <f>C102</f>
        <v>1</v>
      </c>
      <c r="F46" s="2"/>
      <c r="G46" s="7"/>
    </row>
    <row r="47" spans="1:7" s="5" customFormat="1" ht="15" hidden="1" customHeight="1" x14ac:dyDescent="0.2">
      <c r="A47" s="50"/>
      <c r="B47" s="51"/>
      <c r="C47" s="51"/>
      <c r="D47" s="52"/>
      <c r="E47" s="53"/>
      <c r="F47" s="2"/>
      <c r="G47" s="7"/>
    </row>
    <row r="48" spans="1:7" s="5" customFormat="1" ht="15" customHeight="1" thickBot="1" x14ac:dyDescent="0.25">
      <c r="A48" s="54" t="s">
        <v>17</v>
      </c>
      <c r="B48" s="55"/>
      <c r="C48" s="55"/>
      <c r="D48" s="56"/>
      <c r="E48" s="57">
        <f>SUM(E44:E47)</f>
        <v>4</v>
      </c>
      <c r="F48" s="2"/>
      <c r="G48" s="7"/>
    </row>
    <row r="49" spans="1:7" s="5" customFormat="1" ht="15" customHeight="1" thickBot="1" x14ac:dyDescent="0.25">
      <c r="A49" s="58"/>
      <c r="B49" s="59"/>
      <c r="C49" s="2"/>
      <c r="D49" s="2"/>
      <c r="E49" s="60"/>
      <c r="F49" s="2"/>
      <c r="G49" s="7"/>
    </row>
    <row r="50" spans="1:7" s="5" customFormat="1" ht="15" customHeight="1" x14ac:dyDescent="0.2">
      <c r="A50" s="575" t="s">
        <v>18</v>
      </c>
      <c r="B50" s="575"/>
      <c r="C50" s="575"/>
      <c r="D50" s="575"/>
      <c r="E50" s="45" t="s">
        <v>16</v>
      </c>
      <c r="F50" s="155"/>
      <c r="G50" s="7"/>
    </row>
    <row r="51" spans="1:7" s="5" customFormat="1" ht="15" customHeight="1" thickBot="1" x14ac:dyDescent="0.25">
      <c r="A51" s="61" t="str">
        <f>+A194</f>
        <v xml:space="preserve">3.1. Veículo Coletor com caçamba/gaiola </v>
      </c>
      <c r="B51" s="62"/>
      <c r="C51" s="62"/>
      <c r="D51" s="63"/>
      <c r="E51" s="64">
        <f>C209</f>
        <v>1</v>
      </c>
      <c r="F51" s="155"/>
      <c r="G51" s="7"/>
    </row>
    <row r="52" spans="1:7" s="5" customFormat="1" ht="15" customHeight="1" x14ac:dyDescent="0.2">
      <c r="A52" s="2"/>
      <c r="B52" s="2"/>
      <c r="C52" s="2"/>
      <c r="D52" s="9"/>
      <c r="E52" s="65"/>
      <c r="F52" s="155"/>
      <c r="G52" s="7"/>
    </row>
    <row r="53" spans="1:7" s="5" customFormat="1" ht="13.5" thickBot="1" x14ac:dyDescent="0.25">
      <c r="A53" s="2"/>
      <c r="B53" s="2"/>
      <c r="C53" s="2"/>
      <c r="D53" s="9"/>
      <c r="E53" s="66"/>
      <c r="F53" s="155"/>
      <c r="G53" s="7"/>
    </row>
    <row r="54" spans="1:7" s="28" customFormat="1" ht="15.75" customHeight="1" thickBot="1" x14ac:dyDescent="0.25">
      <c r="A54" s="67" t="s">
        <v>19</v>
      </c>
      <c r="B54" s="68">
        <f>'9 Horarios'!G22</f>
        <v>9.0909090909090912E-2</v>
      </c>
      <c r="C54" s="27"/>
      <c r="D54" s="69"/>
      <c r="E54" s="70"/>
      <c r="G54" s="27"/>
    </row>
    <row r="55" spans="1:7" s="5" customFormat="1" ht="15.75" customHeight="1" x14ac:dyDescent="0.2">
      <c r="A55" s="2"/>
      <c r="B55" s="2"/>
      <c r="C55" s="2"/>
      <c r="D55" s="9"/>
      <c r="E55" s="66"/>
      <c r="F55" s="155"/>
      <c r="G55" s="7"/>
    </row>
    <row r="56" spans="1:7" ht="13.15" customHeight="1" x14ac:dyDescent="0.2">
      <c r="A56" s="28" t="s">
        <v>20</v>
      </c>
    </row>
    <row r="57" spans="1:7" ht="11.25" customHeight="1" x14ac:dyDescent="0.2"/>
    <row r="58" spans="1:7" ht="13.9" customHeight="1" thickBot="1" x14ac:dyDescent="0.25">
      <c r="A58" s="155" t="s">
        <v>21</v>
      </c>
    </row>
    <row r="59" spans="1:7" ht="13.9" customHeight="1" thickBot="1" x14ac:dyDescent="0.25">
      <c r="A59" s="71" t="s">
        <v>22</v>
      </c>
      <c r="B59" s="72" t="s">
        <v>23</v>
      </c>
      <c r="C59" s="72" t="s">
        <v>16</v>
      </c>
      <c r="D59" s="73" t="s">
        <v>24</v>
      </c>
      <c r="E59" s="73" t="s">
        <v>25</v>
      </c>
      <c r="F59" s="74" t="s">
        <v>26</v>
      </c>
    </row>
    <row r="60" spans="1:7" ht="13.15" customHeight="1" x14ac:dyDescent="0.2">
      <c r="A60" s="75" t="s">
        <v>27</v>
      </c>
      <c r="B60" s="132" t="s">
        <v>28</v>
      </c>
      <c r="C60" s="132">
        <v>1</v>
      </c>
      <c r="D60" s="77">
        <v>1397.27</v>
      </c>
      <c r="E60" s="78">
        <f>C60*D60</f>
        <v>1397.27</v>
      </c>
    </row>
    <row r="61" spans="1:7" hidden="1" x14ac:dyDescent="0.2">
      <c r="A61" s="79" t="s">
        <v>29</v>
      </c>
      <c r="B61" s="164" t="s">
        <v>30</v>
      </c>
      <c r="C61" s="81"/>
      <c r="D61" s="82">
        <f>D60/220*2</f>
        <v>12.702454545454545</v>
      </c>
      <c r="E61" s="82">
        <f>C61*D61</f>
        <v>0</v>
      </c>
      <c r="G61" s="2" t="s">
        <v>31</v>
      </c>
    </row>
    <row r="62" spans="1:7" ht="13.15" hidden="1" customHeight="1" x14ac:dyDescent="0.2">
      <c r="A62" s="79" t="s">
        <v>32</v>
      </c>
      <c r="B62" s="164" t="s">
        <v>30</v>
      </c>
      <c r="C62" s="81"/>
      <c r="D62" s="82">
        <f>D60/220*1.5</f>
        <v>9.5268409090909092</v>
      </c>
      <c r="E62" s="82">
        <f>C62*D62</f>
        <v>0</v>
      </c>
      <c r="G62" s="2" t="s">
        <v>33</v>
      </c>
    </row>
    <row r="63" spans="1:7" ht="13.15" hidden="1" customHeight="1" x14ac:dyDescent="0.2">
      <c r="A63" s="79" t="s">
        <v>34</v>
      </c>
      <c r="B63" s="164" t="s">
        <v>35</v>
      </c>
      <c r="D63" s="82">
        <f>63/302*(SUM(E61:E62))</f>
        <v>0</v>
      </c>
      <c r="E63" s="82">
        <f>D63</f>
        <v>0</v>
      </c>
      <c r="G63" s="2" t="s">
        <v>36</v>
      </c>
    </row>
    <row r="64" spans="1:7" x14ac:dyDescent="0.2">
      <c r="A64" s="79" t="s">
        <v>37</v>
      </c>
      <c r="B64" s="164" t="s">
        <v>12</v>
      </c>
      <c r="C64" s="164">
        <v>40</v>
      </c>
      <c r="D64" s="82">
        <f>SUM(E60:E63)</f>
        <v>1397.27</v>
      </c>
      <c r="E64" s="82">
        <f>C64*D64/100</f>
        <v>558.90800000000002</v>
      </c>
    </row>
    <row r="65" spans="1:7" x14ac:dyDescent="0.2">
      <c r="A65" s="83" t="s">
        <v>38</v>
      </c>
      <c r="B65" s="84"/>
      <c r="C65" s="84"/>
      <c r="D65" s="85"/>
      <c r="E65" s="86">
        <f>SUM(E60:E64)</f>
        <v>1956.1779999999999</v>
      </c>
    </row>
    <row r="66" spans="1:7" x14ac:dyDescent="0.2">
      <c r="A66" s="79" t="s">
        <v>39</v>
      </c>
      <c r="B66" s="164" t="s">
        <v>12</v>
      </c>
      <c r="C66" s="87">
        <f>'5.Encargos Sociais'!$C$38*100</f>
        <v>69.95</v>
      </c>
      <c r="D66" s="82">
        <f>E65</f>
        <v>1956.1779999999999</v>
      </c>
      <c r="E66" s="82">
        <f>D66*C66/100</f>
        <v>1368.346511</v>
      </c>
    </row>
    <row r="67" spans="1:7" x14ac:dyDescent="0.2">
      <c r="A67" s="83" t="s">
        <v>40</v>
      </c>
      <c r="B67" s="84"/>
      <c r="C67" s="84"/>
      <c r="D67" s="85"/>
      <c r="E67" s="86">
        <f>E65+E66</f>
        <v>3324.5245109999996</v>
      </c>
    </row>
    <row r="68" spans="1:7" ht="13.5" thickBot="1" x14ac:dyDescent="0.25">
      <c r="A68" s="79" t="s">
        <v>41</v>
      </c>
      <c r="B68" s="164" t="s">
        <v>42</v>
      </c>
      <c r="C68" s="88">
        <v>2</v>
      </c>
      <c r="D68" s="82">
        <f>E67</f>
        <v>3324.5245109999996</v>
      </c>
      <c r="E68" s="82">
        <f>C68*D68</f>
        <v>6649.0490219999992</v>
      </c>
      <c r="G68" s="7"/>
    </row>
    <row r="69" spans="1:7" ht="13.9" customHeight="1" thickBot="1" x14ac:dyDescent="0.25">
      <c r="D69" s="89" t="s">
        <v>43</v>
      </c>
      <c r="E69" s="90">
        <f>B54</f>
        <v>9.0909090909090912E-2</v>
      </c>
      <c r="F69" s="91">
        <f>E68*E69</f>
        <v>604.45900199999994</v>
      </c>
      <c r="G69" s="7"/>
    </row>
    <row r="70" spans="1:7" ht="11.25" customHeight="1" x14ac:dyDescent="0.2"/>
    <row r="71" spans="1:7" ht="13.5" thickBot="1" x14ac:dyDescent="0.25">
      <c r="A71" s="155" t="s">
        <v>44</v>
      </c>
    </row>
    <row r="72" spans="1:7" ht="13.5" thickBot="1" x14ac:dyDescent="0.25">
      <c r="A72" s="71" t="s">
        <v>22</v>
      </c>
      <c r="B72" s="72" t="s">
        <v>23</v>
      </c>
      <c r="C72" s="72" t="s">
        <v>16</v>
      </c>
      <c r="D72" s="73" t="s">
        <v>24</v>
      </c>
      <c r="E72" s="73" t="s">
        <v>25</v>
      </c>
      <c r="F72" s="74" t="s">
        <v>26</v>
      </c>
    </row>
    <row r="73" spans="1:7" x14ac:dyDescent="0.2">
      <c r="A73" s="75" t="s">
        <v>27</v>
      </c>
      <c r="B73" s="132" t="s">
        <v>28</v>
      </c>
      <c r="C73" s="132">
        <v>1</v>
      </c>
      <c r="D73" s="316">
        <v>1755.61</v>
      </c>
      <c r="E73" s="78">
        <f>C73*D73</f>
        <v>1755.61</v>
      </c>
    </row>
    <row r="74" spans="1:7" hidden="1" x14ac:dyDescent="0.2">
      <c r="A74" s="79" t="s">
        <v>45</v>
      </c>
      <c r="B74" s="164" t="s">
        <v>46</v>
      </c>
      <c r="C74" s="81"/>
      <c r="D74" s="82"/>
      <c r="E74" s="82"/>
    </row>
    <row r="75" spans="1:7" hidden="1" x14ac:dyDescent="0.2">
      <c r="A75" s="79"/>
      <c r="B75" s="164" t="s">
        <v>47</v>
      </c>
      <c r="C75" s="92">
        <f>C74*8/7</f>
        <v>0</v>
      </c>
      <c r="D75" s="82">
        <f>D73/220*0.2</f>
        <v>1.5960090909090909</v>
      </c>
      <c r="E75" s="82">
        <f>C74*D75</f>
        <v>0</v>
      </c>
    </row>
    <row r="76" spans="1:7" hidden="1" x14ac:dyDescent="0.2">
      <c r="A76" s="79" t="s">
        <v>29</v>
      </c>
      <c r="B76" s="164" t="s">
        <v>30</v>
      </c>
      <c r="C76" s="81"/>
      <c r="D76" s="82">
        <f>D73/220*2</f>
        <v>15.960090909090908</v>
      </c>
      <c r="E76" s="82">
        <f>C76*D76</f>
        <v>0</v>
      </c>
      <c r="G76" s="2" t="s">
        <v>31</v>
      </c>
    </row>
    <row r="77" spans="1:7" hidden="1" x14ac:dyDescent="0.2">
      <c r="A77" s="79" t="s">
        <v>48</v>
      </c>
      <c r="B77" s="164" t="s">
        <v>46</v>
      </c>
      <c r="C77" s="81"/>
      <c r="D77" s="82"/>
      <c r="E77" s="82"/>
      <c r="G77" s="2" t="s">
        <v>49</v>
      </c>
    </row>
    <row r="78" spans="1:7" hidden="1" x14ac:dyDescent="0.2">
      <c r="A78" s="79"/>
      <c r="B78" s="164" t="s">
        <v>47</v>
      </c>
      <c r="C78" s="92">
        <f>C77*8/7</f>
        <v>0</v>
      </c>
      <c r="D78" s="82">
        <f>D73/220*2*1.2</f>
        <v>19.152109090909089</v>
      </c>
      <c r="E78" s="82">
        <f>C78*D78</f>
        <v>0</v>
      </c>
      <c r="G78" s="2" t="s">
        <v>49</v>
      </c>
    </row>
    <row r="79" spans="1:7" hidden="1" x14ac:dyDescent="0.2">
      <c r="A79" s="79" t="s">
        <v>32</v>
      </c>
      <c r="B79" s="164" t="s">
        <v>30</v>
      </c>
      <c r="C79" s="81"/>
      <c r="D79" s="82">
        <f>D73/220*1.5</f>
        <v>11.970068181818181</v>
      </c>
      <c r="E79" s="82">
        <f>C79*D79</f>
        <v>0</v>
      </c>
      <c r="G79" s="2" t="s">
        <v>33</v>
      </c>
    </row>
    <row r="80" spans="1:7" hidden="1" x14ac:dyDescent="0.2">
      <c r="A80" s="79" t="s">
        <v>50</v>
      </c>
      <c r="B80" s="164" t="s">
        <v>46</v>
      </c>
      <c r="C80" s="81"/>
      <c r="D80" s="82"/>
      <c r="E80" s="82"/>
      <c r="G80" s="2" t="s">
        <v>51</v>
      </c>
    </row>
    <row r="81" spans="1:7" hidden="1" x14ac:dyDescent="0.2">
      <c r="A81" s="79"/>
      <c r="B81" s="164" t="s">
        <v>47</v>
      </c>
      <c r="C81" s="82">
        <f>C80*8/7</f>
        <v>0</v>
      </c>
      <c r="D81" s="82">
        <f>D73/220*1.5*1.2</f>
        <v>14.364081818181818</v>
      </c>
      <c r="E81" s="82">
        <f>C81*D81</f>
        <v>0</v>
      </c>
      <c r="G81" s="2" t="s">
        <v>51</v>
      </c>
    </row>
    <row r="82" spans="1:7" ht="13.15" hidden="1" customHeight="1" x14ac:dyDescent="0.2">
      <c r="A82" s="79" t="s">
        <v>34</v>
      </c>
      <c r="B82" s="164" t="s">
        <v>35</v>
      </c>
      <c r="D82" s="82">
        <f>63/302*(SUM(E76:E81))</f>
        <v>0</v>
      </c>
      <c r="E82" s="82">
        <f>D82</f>
        <v>0</v>
      </c>
      <c r="G82" s="2" t="s">
        <v>36</v>
      </c>
    </row>
    <row r="83" spans="1:7" hidden="1" x14ac:dyDescent="0.2">
      <c r="A83" s="79" t="s">
        <v>37</v>
      </c>
      <c r="B83" s="164" t="s">
        <v>12</v>
      </c>
      <c r="C83" s="164">
        <v>0</v>
      </c>
      <c r="D83" s="82">
        <f>SUM(E73:E82)</f>
        <v>1755.61</v>
      </c>
      <c r="E83" s="82">
        <f>C83*D83/100</f>
        <v>0</v>
      </c>
    </row>
    <row r="84" spans="1:7" x14ac:dyDescent="0.2">
      <c r="A84" s="83" t="s">
        <v>38</v>
      </c>
      <c r="B84" s="84"/>
      <c r="C84" s="84"/>
      <c r="D84" s="85"/>
      <c r="E84" s="86">
        <f>SUM(E73:E83)</f>
        <v>1755.61</v>
      </c>
    </row>
    <row r="85" spans="1:7" x14ac:dyDescent="0.2">
      <c r="A85" s="79" t="s">
        <v>39</v>
      </c>
      <c r="B85" s="164" t="s">
        <v>12</v>
      </c>
      <c r="C85" s="87">
        <f>'5.Encargos Sociais'!$C$38*100</f>
        <v>69.95</v>
      </c>
      <c r="D85" s="82">
        <f>E84</f>
        <v>1755.61</v>
      </c>
      <c r="E85" s="82">
        <f>D85*C85/100</f>
        <v>1228.0491950000001</v>
      </c>
    </row>
    <row r="86" spans="1:7" x14ac:dyDescent="0.2">
      <c r="A86" s="83" t="s">
        <v>40</v>
      </c>
      <c r="B86" s="84"/>
      <c r="C86" s="84"/>
      <c r="D86" s="85"/>
      <c r="E86" s="86">
        <f>E84+E85</f>
        <v>2983.6591950000002</v>
      </c>
    </row>
    <row r="87" spans="1:7" ht="13.5" thickBot="1" x14ac:dyDescent="0.25">
      <c r="A87" s="79" t="s">
        <v>41</v>
      </c>
      <c r="B87" s="164" t="s">
        <v>42</v>
      </c>
      <c r="C87" s="88">
        <v>1</v>
      </c>
      <c r="D87" s="82">
        <f>E86</f>
        <v>2983.6591950000002</v>
      </c>
      <c r="E87" s="82">
        <f>C87*D87</f>
        <v>2983.6591950000002</v>
      </c>
    </row>
    <row r="88" spans="1:7" ht="13.5" thickBot="1" x14ac:dyDescent="0.25">
      <c r="A88" s="155" t="s">
        <v>333</v>
      </c>
      <c r="D88" s="89" t="s">
        <v>43</v>
      </c>
      <c r="E88" s="90">
        <f>2/42</f>
        <v>4.7619047619047616E-2</v>
      </c>
      <c r="F88" s="91">
        <f>E87*E88</f>
        <v>142.07900928571428</v>
      </c>
    </row>
    <row r="89" spans="1:7" ht="11.25" customHeight="1" x14ac:dyDescent="0.2"/>
    <row r="90" spans="1:7" ht="13.5" thickBot="1" x14ac:dyDescent="0.25">
      <c r="A90" s="155" t="s">
        <v>52</v>
      </c>
    </row>
    <row r="91" spans="1:7" s="93" customFormat="1" ht="13.15" customHeight="1" thickBot="1" x14ac:dyDescent="0.25">
      <c r="A91" s="71" t="s">
        <v>22</v>
      </c>
      <c r="B91" s="72" t="s">
        <v>23</v>
      </c>
      <c r="C91" s="72" t="s">
        <v>16</v>
      </c>
      <c r="D91" s="73" t="s">
        <v>24</v>
      </c>
      <c r="E91" s="73" t="s">
        <v>25</v>
      </c>
      <c r="F91" s="74" t="s">
        <v>26</v>
      </c>
      <c r="G91" s="2"/>
    </row>
    <row r="92" spans="1:7" x14ac:dyDescent="0.2">
      <c r="A92" s="75" t="s">
        <v>53</v>
      </c>
      <c r="B92" s="132" t="s">
        <v>28</v>
      </c>
      <c r="C92" s="132">
        <v>1</v>
      </c>
      <c r="D92" s="316">
        <v>1802.93</v>
      </c>
      <c r="E92" s="78">
        <f>C92*D92</f>
        <v>1802.93</v>
      </c>
    </row>
    <row r="93" spans="1:7" x14ac:dyDescent="0.2">
      <c r="A93" s="75" t="s">
        <v>54</v>
      </c>
      <c r="B93" s="132" t="s">
        <v>28</v>
      </c>
      <c r="C93" s="132">
        <v>1</v>
      </c>
      <c r="D93" s="77">
        <v>1100</v>
      </c>
      <c r="E93" s="78"/>
    </row>
    <row r="94" spans="1:7" hidden="1" x14ac:dyDescent="0.2">
      <c r="A94" s="79" t="s">
        <v>29</v>
      </c>
      <c r="B94" s="164" t="s">
        <v>30</v>
      </c>
      <c r="C94" s="81"/>
      <c r="D94" s="82">
        <f>D92/220*2</f>
        <v>16.390272727272727</v>
      </c>
      <c r="E94" s="82">
        <f>C94*D94</f>
        <v>0</v>
      </c>
      <c r="G94" s="2" t="s">
        <v>31</v>
      </c>
    </row>
    <row r="95" spans="1:7" hidden="1" x14ac:dyDescent="0.2">
      <c r="A95" s="79" t="s">
        <v>32</v>
      </c>
      <c r="B95" s="164" t="s">
        <v>30</v>
      </c>
      <c r="C95" s="81"/>
      <c r="D95" s="82">
        <f>D92/220*1.5</f>
        <v>12.292704545454544</v>
      </c>
      <c r="E95" s="82">
        <f>C95*D95</f>
        <v>0</v>
      </c>
      <c r="G95" s="2" t="s">
        <v>33</v>
      </c>
    </row>
    <row r="96" spans="1:7" ht="13.15" hidden="1" customHeight="1" x14ac:dyDescent="0.2">
      <c r="A96" s="79" t="s">
        <v>34</v>
      </c>
      <c r="B96" s="164" t="s">
        <v>35</v>
      </c>
      <c r="D96" s="82">
        <f>63/302*(SUM(E94:E95))</f>
        <v>0</v>
      </c>
      <c r="E96" s="82">
        <f>D96</f>
        <v>0</v>
      </c>
      <c r="G96" s="2" t="s">
        <v>36</v>
      </c>
    </row>
    <row r="97" spans="1:7" hidden="1" x14ac:dyDescent="0.2">
      <c r="A97" s="79" t="s">
        <v>55</v>
      </c>
      <c r="B97" s="164"/>
      <c r="C97" s="94">
        <v>0</v>
      </c>
      <c r="D97" s="82"/>
      <c r="E97" s="82"/>
    </row>
    <row r="98" spans="1:7" x14ac:dyDescent="0.2">
      <c r="A98" s="79" t="s">
        <v>37</v>
      </c>
      <c r="B98" s="164" t="s">
        <v>12</v>
      </c>
      <c r="C98" s="88">
        <v>20</v>
      </c>
      <c r="D98" s="82">
        <f>D93</f>
        <v>1100</v>
      </c>
      <c r="E98" s="82">
        <f>C98*D98/100</f>
        <v>220</v>
      </c>
    </row>
    <row r="99" spans="1:7" s="28" customFormat="1" x14ac:dyDescent="0.2">
      <c r="A99" s="95" t="s">
        <v>38</v>
      </c>
      <c r="B99" s="84"/>
      <c r="C99" s="84"/>
      <c r="D99" s="85"/>
      <c r="E99" s="96">
        <f>SUM(E92:E98)</f>
        <v>2022.93</v>
      </c>
      <c r="F99" s="27"/>
      <c r="G99" s="27"/>
    </row>
    <row r="100" spans="1:7" x14ac:dyDescent="0.2">
      <c r="A100" s="79" t="s">
        <v>39</v>
      </c>
      <c r="B100" s="164" t="s">
        <v>12</v>
      </c>
      <c r="C100" s="87">
        <f>'5.Encargos Sociais'!$C$38*100</f>
        <v>69.95</v>
      </c>
      <c r="D100" s="82">
        <f>E99</f>
        <v>2022.93</v>
      </c>
      <c r="E100" s="82">
        <f>D100*C100/100</f>
        <v>1415.0395350000001</v>
      </c>
    </row>
    <row r="101" spans="1:7" s="28" customFormat="1" x14ac:dyDescent="0.2">
      <c r="A101" s="95" t="s">
        <v>56</v>
      </c>
      <c r="B101" s="97"/>
      <c r="C101" s="97"/>
      <c r="D101" s="98"/>
      <c r="E101" s="96">
        <f>E99+E100</f>
        <v>3437.9695350000002</v>
      </c>
      <c r="F101" s="27"/>
      <c r="G101" s="27"/>
    </row>
    <row r="102" spans="1:7" ht="13.5" thickBot="1" x14ac:dyDescent="0.25">
      <c r="A102" s="79" t="s">
        <v>41</v>
      </c>
      <c r="B102" s="164" t="s">
        <v>42</v>
      </c>
      <c r="C102" s="88">
        <v>1</v>
      </c>
      <c r="D102" s="82">
        <f>E101</f>
        <v>3437.9695350000002</v>
      </c>
      <c r="E102" s="82">
        <f>C102*D102</f>
        <v>3437.9695350000002</v>
      </c>
    </row>
    <row r="103" spans="1:7" ht="13.5" thickBot="1" x14ac:dyDescent="0.25">
      <c r="A103" s="317" t="s">
        <v>388</v>
      </c>
      <c r="D103" s="89" t="s">
        <v>43</v>
      </c>
      <c r="E103" s="90">
        <f>'9 Horarios'!G22</f>
        <v>9.0909090909090912E-2</v>
      </c>
      <c r="F103" s="91">
        <f>E102*E103</f>
        <v>312.54268500000001</v>
      </c>
    </row>
    <row r="104" spans="1:7" ht="11.25" customHeight="1" x14ac:dyDescent="0.2">
      <c r="A104" s="317" t="s">
        <v>316</v>
      </c>
    </row>
    <row r="105" spans="1:7" ht="11.25" customHeight="1" x14ac:dyDescent="0.2"/>
    <row r="106" spans="1:7" hidden="1" x14ac:dyDescent="0.2">
      <c r="A106" s="155" t="s">
        <v>57</v>
      </c>
    </row>
    <row r="107" spans="1:7" ht="13.5" hidden="1" thickBot="1" x14ac:dyDescent="0.25">
      <c r="A107" s="71" t="s">
        <v>22</v>
      </c>
      <c r="B107" s="72" t="s">
        <v>23</v>
      </c>
      <c r="C107" s="72" t="s">
        <v>16</v>
      </c>
      <c r="D107" s="73" t="s">
        <v>24</v>
      </c>
      <c r="E107" s="73" t="s">
        <v>25</v>
      </c>
      <c r="F107" s="74" t="s">
        <v>26</v>
      </c>
    </row>
    <row r="108" spans="1:7" hidden="1" x14ac:dyDescent="0.2">
      <c r="A108" s="75" t="s">
        <v>53</v>
      </c>
      <c r="B108" s="132" t="s">
        <v>28</v>
      </c>
      <c r="C108" s="132"/>
      <c r="D108" s="78">
        <v>1592.67</v>
      </c>
      <c r="E108" s="78">
        <f>C108*D108</f>
        <v>0</v>
      </c>
    </row>
    <row r="109" spans="1:7" hidden="1" x14ac:dyDescent="0.2">
      <c r="A109" s="75" t="s">
        <v>54</v>
      </c>
      <c r="B109" s="132" t="s">
        <v>28</v>
      </c>
      <c r="C109" s="132">
        <v>1</v>
      </c>
      <c r="D109" s="82">
        <f>D93</f>
        <v>1100</v>
      </c>
      <c r="E109" s="82"/>
    </row>
    <row r="110" spans="1:7" hidden="1" x14ac:dyDescent="0.2">
      <c r="A110" s="79" t="s">
        <v>45</v>
      </c>
      <c r="B110" s="164" t="s">
        <v>46</v>
      </c>
      <c r="C110" s="81"/>
      <c r="D110" s="79"/>
      <c r="E110" s="79"/>
    </row>
    <row r="111" spans="1:7" hidden="1" x14ac:dyDescent="0.2">
      <c r="A111" s="79"/>
      <c r="B111" s="164" t="s">
        <v>47</v>
      </c>
      <c r="C111" s="82">
        <f>C110*8/7</f>
        <v>0</v>
      </c>
      <c r="D111" s="82">
        <f>D108/220*0.2</f>
        <v>1.4478818181818183</v>
      </c>
      <c r="E111" s="82">
        <f>C110*D111</f>
        <v>0</v>
      </c>
    </row>
    <row r="112" spans="1:7" hidden="1" x14ac:dyDescent="0.2">
      <c r="A112" s="79" t="s">
        <v>29</v>
      </c>
      <c r="B112" s="164" t="s">
        <v>30</v>
      </c>
      <c r="C112" s="81"/>
      <c r="D112" s="82">
        <f>D108/220*2</f>
        <v>14.478818181818182</v>
      </c>
      <c r="E112" s="82">
        <f>C112*D112</f>
        <v>0</v>
      </c>
      <c r="G112" s="2" t="s">
        <v>31</v>
      </c>
    </row>
    <row r="113" spans="1:7" hidden="1" x14ac:dyDescent="0.2">
      <c r="A113" s="79" t="s">
        <v>48</v>
      </c>
      <c r="B113" s="164" t="s">
        <v>46</v>
      </c>
      <c r="C113" s="81"/>
      <c r="D113" s="82"/>
      <c r="E113" s="82"/>
      <c r="G113" s="2" t="s">
        <v>49</v>
      </c>
    </row>
    <row r="114" spans="1:7" hidden="1" x14ac:dyDescent="0.2">
      <c r="A114" s="79"/>
      <c r="B114" s="164" t="s">
        <v>47</v>
      </c>
      <c r="C114" s="82">
        <f>C113*8/7</f>
        <v>0</v>
      </c>
      <c r="D114" s="82">
        <f>D108/220*2*1.2</f>
        <v>17.374581818181817</v>
      </c>
      <c r="E114" s="82">
        <f>C114*D114</f>
        <v>0</v>
      </c>
      <c r="G114" s="2" t="s">
        <v>49</v>
      </c>
    </row>
    <row r="115" spans="1:7" hidden="1" x14ac:dyDescent="0.2">
      <c r="A115" s="79" t="s">
        <v>32</v>
      </c>
      <c r="B115" s="164" t="s">
        <v>30</v>
      </c>
      <c r="C115" s="81"/>
      <c r="D115" s="82">
        <f>D108/220*1.5</f>
        <v>10.859113636363636</v>
      </c>
      <c r="E115" s="82">
        <f>C115*D115</f>
        <v>0</v>
      </c>
      <c r="G115" s="2" t="s">
        <v>33</v>
      </c>
    </row>
    <row r="116" spans="1:7" hidden="1" x14ac:dyDescent="0.2">
      <c r="A116" s="79" t="s">
        <v>50</v>
      </c>
      <c r="B116" s="164" t="s">
        <v>46</v>
      </c>
      <c r="C116" s="81"/>
      <c r="D116" s="82"/>
      <c r="E116" s="82"/>
      <c r="G116" s="2" t="s">
        <v>51</v>
      </c>
    </row>
    <row r="117" spans="1:7" hidden="1" x14ac:dyDescent="0.2">
      <c r="A117" s="79"/>
      <c r="B117" s="164" t="s">
        <v>47</v>
      </c>
      <c r="C117" s="82">
        <f>C116*8/7</f>
        <v>0</v>
      </c>
      <c r="D117" s="82">
        <f>D108/220*1.5*1.2</f>
        <v>13.030936363636362</v>
      </c>
      <c r="E117" s="82">
        <f>C117*D117</f>
        <v>0</v>
      </c>
      <c r="G117" s="2" t="s">
        <v>51</v>
      </c>
    </row>
    <row r="118" spans="1:7" ht="13.15" hidden="1" customHeight="1" x14ac:dyDescent="0.2">
      <c r="A118" s="79" t="s">
        <v>34</v>
      </c>
      <c r="B118" s="164" t="s">
        <v>35</v>
      </c>
      <c r="D118" s="82">
        <f>63/302*(SUM(E112:E117))</f>
        <v>0</v>
      </c>
      <c r="E118" s="82">
        <f>D118</f>
        <v>0</v>
      </c>
      <c r="G118" s="2" t="s">
        <v>36</v>
      </c>
    </row>
    <row r="119" spans="1:7" hidden="1" x14ac:dyDescent="0.2">
      <c r="A119" s="79" t="s">
        <v>55</v>
      </c>
      <c r="B119" s="164"/>
      <c r="C119" s="94">
        <v>1</v>
      </c>
      <c r="D119" s="82"/>
      <c r="E119" s="82"/>
    </row>
    <row r="120" spans="1:7" hidden="1" x14ac:dyDescent="0.2">
      <c r="A120" s="79" t="s">
        <v>37</v>
      </c>
      <c r="B120" s="164" t="s">
        <v>12</v>
      </c>
      <c r="C120" s="82">
        <f>+C98</f>
        <v>20</v>
      </c>
      <c r="D120" s="82">
        <f>IF(C119=2,SUM(E108:E118),IF(C119=1,SUM(E108:E118)*D109/D108,0))</f>
        <v>0</v>
      </c>
      <c r="E120" s="82">
        <f>C120*D120/100</f>
        <v>0</v>
      </c>
    </row>
    <row r="121" spans="1:7" s="28" customFormat="1" hidden="1" x14ac:dyDescent="0.2">
      <c r="A121" s="83" t="s">
        <v>38</v>
      </c>
      <c r="B121" s="84"/>
      <c r="C121" s="84"/>
      <c r="D121" s="85"/>
      <c r="E121" s="86">
        <f>SUM(E108:E120)</f>
        <v>0</v>
      </c>
      <c r="F121" s="27"/>
      <c r="G121" s="27"/>
    </row>
    <row r="122" spans="1:7" hidden="1" x14ac:dyDescent="0.2">
      <c r="A122" s="79" t="s">
        <v>39</v>
      </c>
      <c r="B122" s="164" t="s">
        <v>12</v>
      </c>
      <c r="C122" s="87">
        <f>'5.Encargos Sociais'!$C$38*100</f>
        <v>69.95</v>
      </c>
      <c r="D122" s="82">
        <f>E121</f>
        <v>0</v>
      </c>
      <c r="E122" s="82">
        <f>D122*C122/100</f>
        <v>0</v>
      </c>
    </row>
    <row r="123" spans="1:7" s="28" customFormat="1" hidden="1" x14ac:dyDescent="0.2">
      <c r="A123" s="83" t="s">
        <v>56</v>
      </c>
      <c r="B123" s="84"/>
      <c r="C123" s="84"/>
      <c r="D123" s="85"/>
      <c r="E123" s="86">
        <f>E121+E122</f>
        <v>0</v>
      </c>
      <c r="F123" s="27"/>
      <c r="G123" s="27"/>
    </row>
    <row r="124" spans="1:7" hidden="1" x14ac:dyDescent="0.2">
      <c r="A124" s="79" t="s">
        <v>41</v>
      </c>
      <c r="B124" s="164" t="s">
        <v>42</v>
      </c>
      <c r="C124" s="88">
        <v>1</v>
      </c>
      <c r="D124" s="82">
        <f>E123</f>
        <v>0</v>
      </c>
      <c r="E124" s="82">
        <f>C124*D124</f>
        <v>0</v>
      </c>
    </row>
    <row r="125" spans="1:7" ht="13.5" hidden="1" thickBot="1" x14ac:dyDescent="0.25">
      <c r="A125" s="28"/>
      <c r="D125" s="89" t="s">
        <v>43</v>
      </c>
      <c r="E125" s="90">
        <f>E103</f>
        <v>9.0909090909090912E-2</v>
      </c>
      <c r="F125" s="91">
        <f>E124*E125</f>
        <v>0</v>
      </c>
    </row>
    <row r="126" spans="1:7" ht="11.25" customHeight="1" x14ac:dyDescent="0.2">
      <c r="G126" s="155"/>
    </row>
    <row r="127" spans="1:7" s="155" customFormat="1" ht="13.5" thickBot="1" x14ac:dyDescent="0.25">
      <c r="A127" s="155" t="s">
        <v>458</v>
      </c>
      <c r="B127" s="99"/>
      <c r="E127" s="100"/>
      <c r="F127" s="2"/>
    </row>
    <row r="128" spans="1:7" s="155" customFormat="1" ht="13.5" thickBot="1" x14ac:dyDescent="0.25">
      <c r="A128" s="71" t="s">
        <v>22</v>
      </c>
      <c r="B128" s="72" t="s">
        <v>23</v>
      </c>
      <c r="C128" s="72" t="s">
        <v>16</v>
      </c>
      <c r="D128" s="73" t="s">
        <v>24</v>
      </c>
      <c r="E128" s="73" t="s">
        <v>25</v>
      </c>
      <c r="F128" s="74" t="s">
        <v>26</v>
      </c>
    </row>
    <row r="129" spans="1:7" x14ac:dyDescent="0.2">
      <c r="A129" s="79" t="s">
        <v>58</v>
      </c>
      <c r="B129" s="164" t="s">
        <v>35</v>
      </c>
      <c r="C129" s="101">
        <v>1</v>
      </c>
      <c r="D129" s="102">
        <v>3.5</v>
      </c>
      <c r="E129" s="82"/>
      <c r="G129" s="155"/>
    </row>
    <row r="130" spans="1:7" x14ac:dyDescent="0.2">
      <c r="A130" s="79" t="s">
        <v>59</v>
      </c>
      <c r="B130" s="164" t="s">
        <v>60</v>
      </c>
      <c r="C130" s="103">
        <v>2</v>
      </c>
      <c r="D130" s="82"/>
      <c r="E130" s="82"/>
      <c r="G130" s="155"/>
    </row>
    <row r="131" spans="1:7" x14ac:dyDescent="0.2">
      <c r="A131" s="79" t="s">
        <v>61</v>
      </c>
      <c r="B131" s="164" t="s">
        <v>62</v>
      </c>
      <c r="C131" s="104">
        <f>$C$130*2*(C68)</f>
        <v>8</v>
      </c>
      <c r="D131" s="315">
        <f>D129-(E65/42*0.06)</f>
        <v>0.70546000000000042</v>
      </c>
      <c r="E131" s="82">
        <f>IFERROR(C131*D131,"-")</f>
        <v>5.6436800000000034</v>
      </c>
      <c r="G131" s="155"/>
    </row>
    <row r="132" spans="1:7" ht="13.5" thickBot="1" x14ac:dyDescent="0.25">
      <c r="A132" s="75" t="s">
        <v>331</v>
      </c>
      <c r="B132" s="132" t="s">
        <v>62</v>
      </c>
      <c r="C132" s="104">
        <f>$C$130*2*(C102)</f>
        <v>4</v>
      </c>
      <c r="D132" s="315">
        <f>D129-(E99/42*0.06)</f>
        <v>0.61010000000000009</v>
      </c>
      <c r="E132" s="78">
        <f>IFERROR(C132*D132,"-")</f>
        <v>2.4404000000000003</v>
      </c>
      <c r="G132" s="155"/>
    </row>
    <row r="133" spans="1:7" ht="13.5" thickBot="1" x14ac:dyDescent="0.25">
      <c r="F133" s="105">
        <f>SUM(E131:E132)</f>
        <v>8.0840800000000037</v>
      </c>
      <c r="G133" s="155"/>
    </row>
    <row r="134" spans="1:7" ht="11.25" hidden="1" customHeight="1" x14ac:dyDescent="0.2">
      <c r="G134" s="155"/>
    </row>
    <row r="135" spans="1:7" ht="13.5" thickBot="1" x14ac:dyDescent="0.25">
      <c r="A135" s="155" t="s">
        <v>459</v>
      </c>
      <c r="F135" s="27"/>
      <c r="G135" s="155"/>
    </row>
    <row r="136" spans="1:7" s="155" customFormat="1" ht="13.5" thickBot="1" x14ac:dyDescent="0.25">
      <c r="A136" s="71" t="s">
        <v>22</v>
      </c>
      <c r="B136" s="72" t="s">
        <v>23</v>
      </c>
      <c r="C136" s="72" t="s">
        <v>16</v>
      </c>
      <c r="D136" s="73" t="s">
        <v>24</v>
      </c>
      <c r="E136" s="73" t="s">
        <v>25</v>
      </c>
      <c r="F136" s="74" t="s">
        <v>26</v>
      </c>
    </row>
    <row r="137" spans="1:7" s="155" customFormat="1" x14ac:dyDescent="0.2">
      <c r="A137" s="79" t="str">
        <f>+A131</f>
        <v>Coletor</v>
      </c>
      <c r="B137" s="164" t="s">
        <v>63</v>
      </c>
      <c r="C137" s="104">
        <f>C130*(E44)</f>
        <v>4</v>
      </c>
      <c r="D137" s="318">
        <f>18.2*0.81</f>
        <v>14.742000000000001</v>
      </c>
      <c r="E137" s="107">
        <f>C137*D137</f>
        <v>58.968000000000004</v>
      </c>
      <c r="F137" s="27"/>
    </row>
    <row r="138" spans="1:7" s="155" customFormat="1" x14ac:dyDescent="0.2">
      <c r="A138" s="79" t="str">
        <f>+A132</f>
        <v>Motorista</v>
      </c>
      <c r="B138" s="164" t="s">
        <v>63</v>
      </c>
      <c r="C138" s="104">
        <f>C130*(E47+E46)</f>
        <v>2</v>
      </c>
      <c r="D138" s="318">
        <f>11.98*0.8</f>
        <v>9.5840000000000014</v>
      </c>
      <c r="E138" s="107">
        <f>C138*D138</f>
        <v>19.168000000000003</v>
      </c>
      <c r="F138" s="27"/>
    </row>
    <row r="139" spans="1:7" s="155" customFormat="1" ht="13.5" thickBot="1" x14ac:dyDescent="0.25">
      <c r="A139" s="79" t="s">
        <v>64</v>
      </c>
      <c r="B139" s="164" t="s">
        <v>63</v>
      </c>
      <c r="C139" s="104">
        <v>1</v>
      </c>
      <c r="D139" s="318">
        <f>18.2*0.81</f>
        <v>14.742000000000001</v>
      </c>
      <c r="E139" s="107">
        <f>C139*D139</f>
        <v>14.742000000000001</v>
      </c>
      <c r="F139" s="27"/>
    </row>
    <row r="140" spans="1:7" ht="13.5" thickBot="1" x14ac:dyDescent="0.25">
      <c r="F140" s="105">
        <f>SUM(E137:E139)</f>
        <v>92.878000000000014</v>
      </c>
      <c r="G140" s="155"/>
    </row>
    <row r="141" spans="1:7" x14ac:dyDescent="0.2">
      <c r="G141" s="155"/>
    </row>
    <row r="142" spans="1:7" ht="13.5" thickBot="1" x14ac:dyDescent="0.25">
      <c r="A142" s="155" t="s">
        <v>460</v>
      </c>
      <c r="F142" s="27"/>
      <c r="G142" s="155"/>
    </row>
    <row r="143" spans="1:7" s="155" customFormat="1" ht="13.5" thickBot="1" x14ac:dyDescent="0.25">
      <c r="A143" s="71" t="s">
        <v>22</v>
      </c>
      <c r="B143" s="72" t="s">
        <v>23</v>
      </c>
      <c r="C143" s="72" t="s">
        <v>16</v>
      </c>
      <c r="D143" s="73" t="s">
        <v>24</v>
      </c>
      <c r="E143" s="73" t="s">
        <v>25</v>
      </c>
      <c r="F143" s="74" t="s">
        <v>26</v>
      </c>
    </row>
    <row r="144" spans="1:7" s="155" customFormat="1" hidden="1" x14ac:dyDescent="0.2">
      <c r="A144" s="79" t="str">
        <f>+A137</f>
        <v>Coletor</v>
      </c>
      <c r="B144" s="164" t="s">
        <v>63</v>
      </c>
      <c r="C144" s="104">
        <f>E44+E45</f>
        <v>3</v>
      </c>
      <c r="D144" s="148"/>
      <c r="E144" s="107">
        <f>C144*D144</f>
        <v>0</v>
      </c>
      <c r="F144" s="27"/>
    </row>
    <row r="145" spans="1:7" s="155" customFormat="1" ht="13.5" thickBot="1" x14ac:dyDescent="0.25">
      <c r="A145" s="79" t="str">
        <f>A138</f>
        <v>Motorista</v>
      </c>
      <c r="B145" s="164" t="s">
        <v>63</v>
      </c>
      <c r="C145" s="101">
        <v>1</v>
      </c>
      <c r="D145" s="318">
        <f>90.93*0.8</f>
        <v>72.744000000000014</v>
      </c>
      <c r="E145" s="107">
        <f>C145*D145</f>
        <v>72.744000000000014</v>
      </c>
      <c r="F145" s="27"/>
    </row>
    <row r="146" spans="1:7" s="155" customFormat="1" ht="13.5" thickBot="1" x14ac:dyDescent="0.25">
      <c r="D146" s="89" t="s">
        <v>43</v>
      </c>
      <c r="E146" s="90">
        <f>E103</f>
        <v>9.0909090909090912E-2</v>
      </c>
      <c r="F146" s="105">
        <f>SUM(E144:E145)*E146</f>
        <v>6.6130909090909107</v>
      </c>
    </row>
    <row r="147" spans="1:7" x14ac:dyDescent="0.2">
      <c r="D147" s="89"/>
      <c r="E147" s="108"/>
      <c r="G147" s="155"/>
    </row>
    <row r="148" spans="1:7" ht="13.5" thickBot="1" x14ac:dyDescent="0.25">
      <c r="A148" s="155" t="s">
        <v>461</v>
      </c>
      <c r="F148" s="27"/>
      <c r="G148" s="155"/>
    </row>
    <row r="149" spans="1:7" s="155" customFormat="1" ht="13.5" thickBot="1" x14ac:dyDescent="0.25">
      <c r="A149" s="71" t="s">
        <v>22</v>
      </c>
      <c r="B149" s="72" t="s">
        <v>23</v>
      </c>
      <c r="C149" s="72" t="s">
        <v>16</v>
      </c>
      <c r="D149" s="73" t="s">
        <v>24</v>
      </c>
      <c r="E149" s="73" t="s">
        <v>25</v>
      </c>
      <c r="F149" s="74" t="s">
        <v>26</v>
      </c>
    </row>
    <row r="150" spans="1:7" s="155" customFormat="1" ht="13.5" thickBot="1" x14ac:dyDescent="0.25">
      <c r="A150" s="79" t="str">
        <f>A137</f>
        <v>Coletor</v>
      </c>
      <c r="B150" s="164" t="s">
        <v>63</v>
      </c>
      <c r="C150" s="109">
        <f>E44</f>
        <v>2</v>
      </c>
      <c r="D150" s="148">
        <v>15.62</v>
      </c>
      <c r="E150" s="110">
        <f>C150*D150</f>
        <v>31.24</v>
      </c>
      <c r="F150" s="27"/>
    </row>
    <row r="151" spans="1:7" s="155" customFormat="1" ht="13.5" hidden="1" thickBot="1" x14ac:dyDescent="0.25">
      <c r="A151" s="79"/>
      <c r="B151" s="164" t="s">
        <v>63</v>
      </c>
      <c r="C151" s="109">
        <v>0</v>
      </c>
      <c r="D151" s="111">
        <v>0</v>
      </c>
      <c r="E151" s="110"/>
      <c r="F151" s="27"/>
    </row>
    <row r="152" spans="1:7" s="155" customFormat="1" ht="13.5" thickBot="1" x14ac:dyDescent="0.25">
      <c r="A152" s="112"/>
      <c r="B152" s="112"/>
      <c r="D152" s="89" t="s">
        <v>65</v>
      </c>
      <c r="E152" s="90">
        <f>B54</f>
        <v>9.0909090909090912E-2</v>
      </c>
      <c r="F152" s="113">
        <f>SUM(E150:E151)*E152</f>
        <v>2.84</v>
      </c>
    </row>
    <row r="153" spans="1:7" ht="13.5" thickBot="1" x14ac:dyDescent="0.25">
      <c r="D153" s="89"/>
      <c r="E153" s="108"/>
      <c r="G153" s="155"/>
    </row>
    <row r="154" spans="1:7" s="155" customFormat="1" ht="13.5" thickBot="1" x14ac:dyDescent="0.25">
      <c r="A154" s="114" t="s">
        <v>66</v>
      </c>
      <c r="B154" s="115"/>
      <c r="C154" s="115"/>
      <c r="D154" s="42"/>
      <c r="E154" s="116"/>
      <c r="F154" s="105">
        <f>F146+F140+F133+F125+F103+F88+F69+F152</f>
        <v>1169.495867194805</v>
      </c>
    </row>
    <row r="156" spans="1:7" x14ac:dyDescent="0.2">
      <c r="A156" s="528" t="s">
        <v>67</v>
      </c>
      <c r="G156" s="155"/>
    </row>
    <row r="157" spans="1:7" ht="11.25" customHeight="1" x14ac:dyDescent="0.2">
      <c r="G157" s="155"/>
    </row>
    <row r="158" spans="1:7" ht="13.9" customHeight="1" x14ac:dyDescent="0.2">
      <c r="A158" s="155" t="s">
        <v>68</v>
      </c>
      <c r="G158" s="155"/>
    </row>
    <row r="159" spans="1:7" ht="11.25" customHeight="1" thickBot="1" x14ac:dyDescent="0.25">
      <c r="G159" s="155"/>
    </row>
    <row r="160" spans="1:7" s="155" customFormat="1" ht="27.75" customHeight="1" thickBot="1" x14ac:dyDescent="0.25">
      <c r="A160" s="71" t="s">
        <v>22</v>
      </c>
      <c r="B160" s="72" t="s">
        <v>23</v>
      </c>
      <c r="C160" s="117" t="s">
        <v>69</v>
      </c>
      <c r="D160" s="73" t="s">
        <v>24</v>
      </c>
      <c r="E160" s="73" t="s">
        <v>25</v>
      </c>
      <c r="F160" s="74" t="s">
        <v>26</v>
      </c>
    </row>
    <row r="161" spans="1:7" x14ac:dyDescent="0.2">
      <c r="A161" s="75" t="s">
        <v>70</v>
      </c>
      <c r="B161" s="132" t="s">
        <v>63</v>
      </c>
      <c r="C161" s="319">
        <v>12</v>
      </c>
      <c r="D161" s="316">
        <v>110</v>
      </c>
      <c r="E161" s="78">
        <f t="shared" ref="E161:E171" si="1">IFERROR(D161/C161,0)</f>
        <v>9.1666666666666661</v>
      </c>
      <c r="G161" s="155"/>
    </row>
    <row r="162" spans="1:7" ht="13.15" customHeight="1" x14ac:dyDescent="0.2">
      <c r="A162" s="79" t="s">
        <v>71</v>
      </c>
      <c r="B162" s="164" t="s">
        <v>63</v>
      </c>
      <c r="C162" s="319">
        <v>4</v>
      </c>
      <c r="D162" s="320">
        <v>35</v>
      </c>
      <c r="E162" s="78">
        <f t="shared" si="1"/>
        <v>8.75</v>
      </c>
      <c r="G162" s="155"/>
    </row>
    <row r="163" spans="1:7" x14ac:dyDescent="0.2">
      <c r="A163" s="79" t="s">
        <v>72</v>
      </c>
      <c r="B163" s="164" t="s">
        <v>63</v>
      </c>
      <c r="C163" s="319">
        <v>2</v>
      </c>
      <c r="D163" s="320">
        <v>28</v>
      </c>
      <c r="E163" s="78">
        <f t="shared" si="1"/>
        <v>14</v>
      </c>
      <c r="G163" s="155"/>
    </row>
    <row r="164" spans="1:7" ht="13.15" customHeight="1" x14ac:dyDescent="0.2">
      <c r="A164" s="79" t="s">
        <v>73</v>
      </c>
      <c r="B164" s="164" t="s">
        <v>63</v>
      </c>
      <c r="C164" s="319">
        <v>4</v>
      </c>
      <c r="D164" s="320">
        <v>18</v>
      </c>
      <c r="E164" s="78">
        <f t="shared" si="1"/>
        <v>4.5</v>
      </c>
      <c r="G164" s="155"/>
    </row>
    <row r="165" spans="1:7" ht="13.9" customHeight="1" x14ac:dyDescent="0.2">
      <c r="A165" s="79" t="s">
        <v>74</v>
      </c>
      <c r="B165" s="164" t="s">
        <v>75</v>
      </c>
      <c r="C165" s="319">
        <v>4</v>
      </c>
      <c r="D165" s="320">
        <v>60</v>
      </c>
      <c r="E165" s="78">
        <f t="shared" si="1"/>
        <v>15</v>
      </c>
      <c r="G165" s="155"/>
    </row>
    <row r="166" spans="1:7" ht="13.15" customHeight="1" x14ac:dyDescent="0.2">
      <c r="A166" s="79" t="s">
        <v>76</v>
      </c>
      <c r="B166" s="164" t="s">
        <v>75</v>
      </c>
      <c r="C166" s="319">
        <v>2</v>
      </c>
      <c r="D166" s="320">
        <v>10</v>
      </c>
      <c r="E166" s="78">
        <f t="shared" si="1"/>
        <v>5</v>
      </c>
    </row>
    <row r="167" spans="1:7" x14ac:dyDescent="0.2">
      <c r="A167" s="79" t="s">
        <v>77</v>
      </c>
      <c r="B167" s="164" t="s">
        <v>63</v>
      </c>
      <c r="C167" s="319">
        <v>6</v>
      </c>
      <c r="D167" s="320">
        <v>67</v>
      </c>
      <c r="E167" s="78">
        <f t="shared" si="1"/>
        <v>11.166666666666666</v>
      </c>
    </row>
    <row r="168" spans="1:7" s="123" customFormat="1" x14ac:dyDescent="0.2">
      <c r="A168" s="120" t="s">
        <v>78</v>
      </c>
      <c r="B168" s="121" t="s">
        <v>63</v>
      </c>
      <c r="C168" s="319">
        <v>4</v>
      </c>
      <c r="D168" s="320">
        <v>20</v>
      </c>
      <c r="E168" s="78">
        <f t="shared" si="1"/>
        <v>5</v>
      </c>
      <c r="F168" s="122"/>
      <c r="G168" s="122"/>
    </row>
    <row r="169" spans="1:7" x14ac:dyDescent="0.2">
      <c r="A169" s="79" t="s">
        <v>79</v>
      </c>
      <c r="B169" s="164" t="s">
        <v>75</v>
      </c>
      <c r="C169" s="319">
        <v>0.5</v>
      </c>
      <c r="D169" s="320">
        <v>15</v>
      </c>
      <c r="E169" s="78">
        <f t="shared" si="1"/>
        <v>30</v>
      </c>
    </row>
    <row r="170" spans="1:7" x14ac:dyDescent="0.2">
      <c r="A170" s="375" t="s">
        <v>383</v>
      </c>
      <c r="B170" s="376" t="s">
        <v>63</v>
      </c>
      <c r="C170" s="319">
        <v>0.04</v>
      </c>
      <c r="D170" s="320">
        <v>1</v>
      </c>
      <c r="E170" s="315">
        <f t="shared" si="1"/>
        <v>25</v>
      </c>
    </row>
    <row r="171" spans="1:7" ht="13.15" customHeight="1" x14ac:dyDescent="0.2">
      <c r="A171" s="79" t="s">
        <v>80</v>
      </c>
      <c r="B171" s="164" t="s">
        <v>81</v>
      </c>
      <c r="C171" s="319">
        <v>2</v>
      </c>
      <c r="D171" s="320">
        <v>20</v>
      </c>
      <c r="E171" s="78">
        <f t="shared" si="1"/>
        <v>10</v>
      </c>
    </row>
    <row r="172" spans="1:7" hidden="1" x14ac:dyDescent="0.2">
      <c r="A172" s="79"/>
      <c r="B172" s="164"/>
      <c r="C172" s="124"/>
      <c r="D172" s="119"/>
      <c r="E172" s="82">
        <f>C172*D172</f>
        <v>0</v>
      </c>
    </row>
    <row r="173" spans="1:7" ht="13.5" thickBot="1" x14ac:dyDescent="0.25">
      <c r="A173" s="79" t="s">
        <v>41</v>
      </c>
      <c r="B173" s="164" t="s">
        <v>42</v>
      </c>
      <c r="C173" s="126">
        <f>E44</f>
        <v>2</v>
      </c>
      <c r="D173" s="82">
        <f>+SUM(E161:E172)</f>
        <v>137.58333333333331</v>
      </c>
      <c r="E173" s="82">
        <f>C173*D173</f>
        <v>275.16666666666663</v>
      </c>
    </row>
    <row r="174" spans="1:7" ht="13.5" thickBot="1" x14ac:dyDescent="0.25">
      <c r="D174" s="89" t="s">
        <v>43</v>
      </c>
      <c r="E174" s="90">
        <f>$B$54</f>
        <v>9.0909090909090912E-2</v>
      </c>
      <c r="F174" s="91">
        <f>E173*E174</f>
        <v>25.015151515151512</v>
      </c>
    </row>
    <row r="175" spans="1:7" ht="11.25" customHeight="1" x14ac:dyDescent="0.2"/>
    <row r="176" spans="1:7" ht="13.9" customHeight="1" x14ac:dyDescent="0.2">
      <c r="A176" s="155" t="s">
        <v>84</v>
      </c>
    </row>
    <row r="177" spans="1:7" ht="11.25" customHeight="1" thickBot="1" x14ac:dyDescent="0.25"/>
    <row r="178" spans="1:7" ht="24.75" thickBot="1" x14ac:dyDescent="0.25">
      <c r="A178" s="71" t="s">
        <v>22</v>
      </c>
      <c r="B178" s="72" t="s">
        <v>23</v>
      </c>
      <c r="C178" s="117" t="s">
        <v>69</v>
      </c>
      <c r="D178" s="73" t="s">
        <v>24</v>
      </c>
      <c r="E178" s="73" t="s">
        <v>25</v>
      </c>
      <c r="F178" s="74" t="s">
        <v>26</v>
      </c>
    </row>
    <row r="179" spans="1:7" x14ac:dyDescent="0.2">
      <c r="A179" s="75" t="s">
        <v>70</v>
      </c>
      <c r="B179" s="132" t="s">
        <v>63</v>
      </c>
      <c r="C179" s="118">
        <f>C161</f>
        <v>12</v>
      </c>
      <c r="D179" s="78">
        <f>+D161</f>
        <v>110</v>
      </c>
      <c r="E179" s="78">
        <f t="shared" ref="E179:E185" si="2">IFERROR(D179/C179,0)</f>
        <v>9.1666666666666661</v>
      </c>
    </row>
    <row r="180" spans="1:7" x14ac:dyDescent="0.2">
      <c r="A180" s="79" t="s">
        <v>71</v>
      </c>
      <c r="B180" s="164" t="s">
        <v>63</v>
      </c>
      <c r="C180" s="118">
        <f>C162</f>
        <v>4</v>
      </c>
      <c r="D180" s="82">
        <f>+D162</f>
        <v>35</v>
      </c>
      <c r="E180" s="78">
        <f t="shared" si="2"/>
        <v>8.75</v>
      </c>
    </row>
    <row r="181" spans="1:7" x14ac:dyDescent="0.2">
      <c r="A181" s="79" t="s">
        <v>72</v>
      </c>
      <c r="B181" s="164" t="s">
        <v>63</v>
      </c>
      <c r="C181" s="118">
        <f>C163</f>
        <v>2</v>
      </c>
      <c r="D181" s="82">
        <f>+D163</f>
        <v>28</v>
      </c>
      <c r="E181" s="78">
        <f t="shared" si="2"/>
        <v>14</v>
      </c>
    </row>
    <row r="182" spans="1:7" x14ac:dyDescent="0.2">
      <c r="A182" s="79" t="s">
        <v>74</v>
      </c>
      <c r="B182" s="164" t="s">
        <v>75</v>
      </c>
      <c r="C182" s="118">
        <f>C165</f>
        <v>4</v>
      </c>
      <c r="D182" s="82">
        <f>+D165</f>
        <v>60</v>
      </c>
      <c r="E182" s="78">
        <f t="shared" si="2"/>
        <v>15</v>
      </c>
    </row>
    <row r="183" spans="1:7" x14ac:dyDescent="0.2">
      <c r="A183" s="79" t="s">
        <v>77</v>
      </c>
      <c r="B183" s="164" t="s">
        <v>63</v>
      </c>
      <c r="C183" s="118">
        <f>C167</f>
        <v>6</v>
      </c>
      <c r="D183" s="82">
        <f>+D167</f>
        <v>67</v>
      </c>
      <c r="E183" s="78">
        <f t="shared" si="2"/>
        <v>11.166666666666666</v>
      </c>
      <c r="G183" s="155"/>
    </row>
    <row r="184" spans="1:7" x14ac:dyDescent="0.2">
      <c r="A184" s="375" t="s">
        <v>383</v>
      </c>
      <c r="B184" s="376" t="s">
        <v>63</v>
      </c>
      <c r="C184" s="319">
        <v>4.7619047619047616E-2</v>
      </c>
      <c r="D184" s="377">
        <f>D170</f>
        <v>1</v>
      </c>
      <c r="E184" s="315">
        <f t="shared" si="2"/>
        <v>21</v>
      </c>
      <c r="G184" s="155"/>
    </row>
    <row r="185" spans="1:7" x14ac:dyDescent="0.2">
      <c r="A185" s="79" t="s">
        <v>80</v>
      </c>
      <c r="B185" s="164" t="s">
        <v>81</v>
      </c>
      <c r="C185" s="118">
        <f>C171</f>
        <v>2</v>
      </c>
      <c r="D185" s="82">
        <f>+D171</f>
        <v>20</v>
      </c>
      <c r="E185" s="78">
        <f t="shared" si="2"/>
        <v>10</v>
      </c>
      <c r="G185" s="155"/>
    </row>
    <row r="186" spans="1:7" hidden="1" x14ac:dyDescent="0.2">
      <c r="A186" s="79" t="s">
        <v>82</v>
      </c>
      <c r="B186" s="164" t="s">
        <v>83</v>
      </c>
      <c r="C186" s="126">
        <v>1</v>
      </c>
      <c r="D186" s="77">
        <f>D172</f>
        <v>0</v>
      </c>
      <c r="E186" s="82">
        <f>C186*D186</f>
        <v>0</v>
      </c>
      <c r="G186" s="155"/>
    </row>
    <row r="187" spans="1:7" ht="13.5" thickBot="1" x14ac:dyDescent="0.25">
      <c r="A187" s="79" t="s">
        <v>41</v>
      </c>
      <c r="B187" s="164" t="s">
        <v>42</v>
      </c>
      <c r="C187" s="126">
        <f>E46+E47</f>
        <v>1</v>
      </c>
      <c r="D187" s="82">
        <f>+SUM(E179:E186)</f>
        <v>89.083333333333329</v>
      </c>
      <c r="E187" s="82">
        <f>C187*D187</f>
        <v>89.083333333333329</v>
      </c>
      <c r="G187" s="155"/>
    </row>
    <row r="188" spans="1:7" s="155" customFormat="1" ht="13.5" thickBot="1" x14ac:dyDescent="0.25">
      <c r="D188" s="89" t="s">
        <v>43</v>
      </c>
      <c r="E188" s="90">
        <f>E103</f>
        <v>9.0909090909090912E-2</v>
      </c>
      <c r="F188" s="91">
        <f>E187*E188</f>
        <v>8.0984848484848477</v>
      </c>
    </row>
    <row r="189" spans="1:7" ht="11.25" customHeight="1" thickBot="1" x14ac:dyDescent="0.25">
      <c r="G189" s="155"/>
    </row>
    <row r="190" spans="1:7" s="155" customFormat="1" ht="13.5" thickBot="1" x14ac:dyDescent="0.25">
      <c r="A190" s="114" t="s">
        <v>85</v>
      </c>
      <c r="B190" s="127"/>
      <c r="C190" s="127"/>
      <c r="D190" s="128"/>
      <c r="E190" s="129"/>
      <c r="F190" s="167">
        <f>+F174+F188</f>
        <v>33.11363636363636</v>
      </c>
    </row>
    <row r="191" spans="1:7" ht="11.25" customHeight="1" x14ac:dyDescent="0.2">
      <c r="G191" s="155"/>
    </row>
    <row r="192" spans="1:7" x14ac:dyDescent="0.2">
      <c r="A192" s="28" t="s">
        <v>86</v>
      </c>
      <c r="G192" s="155"/>
    </row>
    <row r="193" spans="1:10" ht="11.25" customHeight="1" x14ac:dyDescent="0.2">
      <c r="B193" s="131"/>
      <c r="G193" s="155"/>
    </row>
    <row r="194" spans="1:10" x14ac:dyDescent="0.2">
      <c r="A194" s="155" t="s">
        <v>389</v>
      </c>
      <c r="G194" s="155"/>
    </row>
    <row r="195" spans="1:10" ht="11.25" customHeight="1" x14ac:dyDescent="0.2">
      <c r="G195" s="155"/>
    </row>
    <row r="196" spans="1:10" ht="13.5" thickBot="1" x14ac:dyDescent="0.25">
      <c r="A196" s="131" t="s">
        <v>87</v>
      </c>
      <c r="G196" s="155"/>
    </row>
    <row r="197" spans="1:10" s="155" customFormat="1" ht="13.5" thickBot="1" x14ac:dyDescent="0.25">
      <c r="A197" s="71" t="s">
        <v>22</v>
      </c>
      <c r="B197" s="72" t="s">
        <v>23</v>
      </c>
      <c r="C197" s="72" t="s">
        <v>16</v>
      </c>
      <c r="D197" s="73" t="s">
        <v>24</v>
      </c>
      <c r="E197" s="73" t="s">
        <v>25</v>
      </c>
      <c r="F197" s="74" t="s">
        <v>26</v>
      </c>
    </row>
    <row r="198" spans="1:10" x14ac:dyDescent="0.2">
      <c r="A198" s="75" t="s">
        <v>317</v>
      </c>
      <c r="B198" s="132" t="s">
        <v>63</v>
      </c>
      <c r="C198" s="132">
        <v>1</v>
      </c>
      <c r="D198" s="77">
        <v>130000</v>
      </c>
      <c r="E198" s="78">
        <f>C198*D198</f>
        <v>130000</v>
      </c>
      <c r="G198" s="155"/>
    </row>
    <row r="199" spans="1:10" x14ac:dyDescent="0.2">
      <c r="A199" s="79" t="s">
        <v>88</v>
      </c>
      <c r="B199" s="164" t="s">
        <v>89</v>
      </c>
      <c r="C199" s="88">
        <v>15</v>
      </c>
      <c r="D199" s="82"/>
      <c r="E199" s="82"/>
      <c r="G199" s="155"/>
    </row>
    <row r="200" spans="1:10" x14ac:dyDescent="0.2">
      <c r="A200" s="79" t="s">
        <v>90</v>
      </c>
      <c r="B200" s="164" t="s">
        <v>89</v>
      </c>
      <c r="C200" s="88">
        <v>0</v>
      </c>
      <c r="D200" s="82"/>
      <c r="E200" s="82"/>
      <c r="F200" s="133"/>
      <c r="I200" s="134"/>
      <c r="J200" s="134"/>
    </row>
    <row r="201" spans="1:10" x14ac:dyDescent="0.2">
      <c r="A201" s="79" t="s">
        <v>91</v>
      </c>
      <c r="B201" s="164" t="s">
        <v>12</v>
      </c>
      <c r="C201" s="87">
        <f>IFERROR(VLOOKUP(C199,'11. Depreciação'!A3:B17,2,0),0)</f>
        <v>70.73</v>
      </c>
      <c r="D201" s="82">
        <f>E198</f>
        <v>130000</v>
      </c>
      <c r="E201" s="82">
        <f>C201*D201/100</f>
        <v>91949</v>
      </c>
    </row>
    <row r="202" spans="1:10" ht="13.5" thickBot="1" x14ac:dyDescent="0.25">
      <c r="A202" s="135" t="s">
        <v>92</v>
      </c>
      <c r="B202" s="136" t="s">
        <v>28</v>
      </c>
      <c r="C202" s="136">
        <f>C199*12</f>
        <v>180</v>
      </c>
      <c r="D202" s="137">
        <f>IF(C200&lt;=C199,E201,0)</f>
        <v>91949</v>
      </c>
      <c r="E202" s="137">
        <f>IFERROR(D202/C202,0)</f>
        <v>510.82777777777778</v>
      </c>
    </row>
    <row r="203" spans="1:10" ht="13.5" thickTop="1" x14ac:dyDescent="0.2">
      <c r="A203" s="75" t="s">
        <v>332</v>
      </c>
      <c r="B203" s="132" t="s">
        <v>63</v>
      </c>
      <c r="C203" s="132">
        <f>C198</f>
        <v>1</v>
      </c>
      <c r="D203" s="77">
        <v>30000</v>
      </c>
      <c r="E203" s="78">
        <f>C203*D203</f>
        <v>30000</v>
      </c>
      <c r="G203" s="155"/>
    </row>
    <row r="204" spans="1:10" x14ac:dyDescent="0.2">
      <c r="A204" s="79" t="s">
        <v>88</v>
      </c>
      <c r="B204" s="164" t="s">
        <v>89</v>
      </c>
      <c r="C204" s="88">
        <v>15</v>
      </c>
      <c r="D204" s="82"/>
      <c r="E204" s="82"/>
    </row>
    <row r="205" spans="1:10" x14ac:dyDescent="0.2">
      <c r="A205" s="79" t="s">
        <v>93</v>
      </c>
      <c r="B205" s="164" t="s">
        <v>89</v>
      </c>
      <c r="C205" s="88">
        <v>0</v>
      </c>
      <c r="D205" s="82"/>
      <c r="E205" s="82"/>
      <c r="F205" s="133"/>
      <c r="I205" s="134"/>
      <c r="J205" s="134"/>
    </row>
    <row r="206" spans="1:10" x14ac:dyDescent="0.2">
      <c r="A206" s="79" t="s">
        <v>91</v>
      </c>
      <c r="B206" s="164" t="s">
        <v>12</v>
      </c>
      <c r="C206" s="138">
        <f>IFERROR(VLOOKUP(C204,'11. Depreciação'!A3:B17,2,0),0)</f>
        <v>70.73</v>
      </c>
      <c r="D206" s="82">
        <f>E203</f>
        <v>30000</v>
      </c>
      <c r="E206" s="82">
        <f>C206*D206/100</f>
        <v>21219</v>
      </c>
    </row>
    <row r="207" spans="1:10" x14ac:dyDescent="0.2">
      <c r="A207" s="95" t="s">
        <v>94</v>
      </c>
      <c r="B207" s="139" t="s">
        <v>28</v>
      </c>
      <c r="C207" s="139">
        <f>C204*12</f>
        <v>180</v>
      </c>
      <c r="D207" s="96">
        <f>IF(C205&lt;=C204,E206,0)</f>
        <v>21219</v>
      </c>
      <c r="E207" s="96">
        <f>IFERROR(D207/C207,0)</f>
        <v>117.88333333333334</v>
      </c>
    </row>
    <row r="208" spans="1:10" x14ac:dyDescent="0.2">
      <c r="A208" s="83" t="s">
        <v>95</v>
      </c>
      <c r="B208" s="84"/>
      <c r="C208" s="84"/>
      <c r="D208" s="85"/>
      <c r="E208" s="86">
        <f>E202+E207</f>
        <v>628.71111111111111</v>
      </c>
    </row>
    <row r="209" spans="1:10" ht="13.5" thickBot="1" x14ac:dyDescent="0.25">
      <c r="A209" s="95" t="s">
        <v>96</v>
      </c>
      <c r="B209" s="139" t="s">
        <v>63</v>
      </c>
      <c r="C209" s="88">
        <v>1</v>
      </c>
      <c r="D209" s="96">
        <f>E208</f>
        <v>628.71111111111111</v>
      </c>
      <c r="E209" s="86">
        <f>C209*D209</f>
        <v>628.71111111111111</v>
      </c>
    </row>
    <row r="210" spans="1:10" ht="13.5" thickBot="1" x14ac:dyDescent="0.25">
      <c r="A210" s="140"/>
      <c r="B210" s="140"/>
      <c r="C210" s="140"/>
      <c r="D210" s="89" t="s">
        <v>43</v>
      </c>
      <c r="E210" s="90">
        <f>E103</f>
        <v>9.0909090909090912E-2</v>
      </c>
      <c r="F210" s="167">
        <f>E209*E210</f>
        <v>57.155555555555559</v>
      </c>
    </row>
    <row r="211" spans="1:10" ht="11.25" customHeight="1" x14ac:dyDescent="0.2"/>
    <row r="212" spans="1:10" ht="13.5" thickBot="1" x14ac:dyDescent="0.25">
      <c r="A212" s="131" t="s">
        <v>97</v>
      </c>
    </row>
    <row r="213" spans="1:10" ht="13.5" thickBot="1" x14ac:dyDescent="0.25">
      <c r="A213" s="141" t="s">
        <v>22</v>
      </c>
      <c r="B213" s="142" t="s">
        <v>23</v>
      </c>
      <c r="C213" s="142" t="s">
        <v>16</v>
      </c>
      <c r="D213" s="73" t="s">
        <v>24</v>
      </c>
      <c r="E213" s="143" t="s">
        <v>25</v>
      </c>
      <c r="F213" s="74" t="s">
        <v>26</v>
      </c>
      <c r="I213" s="134"/>
      <c r="J213" s="134"/>
    </row>
    <row r="214" spans="1:10" x14ac:dyDescent="0.2">
      <c r="A214" s="79" t="s">
        <v>98</v>
      </c>
      <c r="B214" s="164" t="s">
        <v>63</v>
      </c>
      <c r="C214" s="132">
        <v>1</v>
      </c>
      <c r="D214" s="82">
        <f>D198</f>
        <v>130000</v>
      </c>
      <c r="E214" s="82">
        <f>C214*D214</f>
        <v>130000</v>
      </c>
      <c r="F214" s="133"/>
      <c r="I214" s="134"/>
      <c r="J214" s="134"/>
    </row>
    <row r="215" spans="1:10" x14ac:dyDescent="0.2">
      <c r="A215" s="79" t="s">
        <v>99</v>
      </c>
      <c r="B215" s="164" t="s">
        <v>12</v>
      </c>
      <c r="C215" s="88">
        <v>6.25</v>
      </c>
      <c r="D215" s="82"/>
      <c r="E215" s="82"/>
      <c r="F215" s="133"/>
      <c r="I215" s="134"/>
      <c r="J215" s="134"/>
    </row>
    <row r="216" spans="1:10" x14ac:dyDescent="0.2">
      <c r="A216" s="79" t="s">
        <v>100</v>
      </c>
      <c r="B216" s="164" t="s">
        <v>35</v>
      </c>
      <c r="C216" s="144">
        <f>IFERROR(IF(C200&lt;=C199,E198-(C201/(100*C199)*C200)*E198,E198-E201),0)*0.35</f>
        <v>45500</v>
      </c>
      <c r="D216" s="82"/>
      <c r="E216" s="82"/>
      <c r="F216" s="133"/>
      <c r="I216" s="134"/>
      <c r="J216" s="134"/>
    </row>
    <row r="217" spans="1:10" x14ac:dyDescent="0.2">
      <c r="A217" s="79" t="s">
        <v>101</v>
      </c>
      <c r="B217" s="164" t="s">
        <v>35</v>
      </c>
      <c r="C217" s="82">
        <f>IFERROR(IF(C200&gt;=C199,C216,((((C216)-(E198-E201))*(((C199-C200)+1)/(2*(C199-C200))))+(E198-E201))),0)</f>
        <v>42023.8</v>
      </c>
      <c r="D217" s="82"/>
      <c r="E217" s="82"/>
      <c r="F217" s="133"/>
      <c r="I217" s="134"/>
      <c r="J217" s="134"/>
    </row>
    <row r="218" spans="1:10" ht="13.5" thickBot="1" x14ac:dyDescent="0.25">
      <c r="A218" s="135" t="s">
        <v>102</v>
      </c>
      <c r="B218" s="136" t="s">
        <v>35</v>
      </c>
      <c r="C218" s="136"/>
      <c r="D218" s="137">
        <f>C215*C217/12/100</f>
        <v>218.87395833333332</v>
      </c>
      <c r="E218" s="137">
        <f>D218</f>
        <v>218.87395833333332</v>
      </c>
      <c r="F218" s="133"/>
      <c r="I218" s="134"/>
      <c r="J218" s="134"/>
    </row>
    <row r="219" spans="1:10" ht="13.5" thickTop="1" x14ac:dyDescent="0.2">
      <c r="A219" s="75" t="s">
        <v>390</v>
      </c>
      <c r="B219" s="132" t="s">
        <v>63</v>
      </c>
      <c r="C219" s="132">
        <f>C203</f>
        <v>1</v>
      </c>
      <c r="D219" s="78">
        <f>D203</f>
        <v>30000</v>
      </c>
      <c r="E219" s="78">
        <f>C219*D219</f>
        <v>30000</v>
      </c>
      <c r="F219" s="133"/>
      <c r="I219" s="134"/>
      <c r="J219" s="134"/>
    </row>
    <row r="220" spans="1:10" x14ac:dyDescent="0.2">
      <c r="A220" s="79" t="s">
        <v>99</v>
      </c>
      <c r="B220" s="164" t="s">
        <v>12</v>
      </c>
      <c r="C220" s="164">
        <f>C215</f>
        <v>6.25</v>
      </c>
      <c r="D220" s="82"/>
      <c r="E220" s="82"/>
      <c r="F220" s="133"/>
      <c r="I220" s="134"/>
      <c r="J220" s="134"/>
    </row>
    <row r="221" spans="1:10" x14ac:dyDescent="0.2">
      <c r="A221" s="79" t="s">
        <v>328</v>
      </c>
      <c r="B221" s="164" t="s">
        <v>35</v>
      </c>
      <c r="C221" s="144">
        <f>IFERROR(IF(C205&lt;=C204,E203-(C206/(100*C204)*C205)*E203,E203-E206),0)*0.35</f>
        <v>10500</v>
      </c>
      <c r="D221" s="82"/>
      <c r="E221" s="82"/>
      <c r="F221" s="133"/>
      <c r="I221" s="134"/>
      <c r="J221" s="134"/>
    </row>
    <row r="222" spans="1:10" x14ac:dyDescent="0.2">
      <c r="A222" s="79" t="s">
        <v>103</v>
      </c>
      <c r="B222" s="164" t="s">
        <v>35</v>
      </c>
      <c r="C222" s="82">
        <f>IFERROR(IF(C205&gt;=C204,C221,((((C221)-(E203-E206))*(((C204-C205)+1)/(2*(C204-C205))))+(E203-E206))),0)</f>
        <v>9697.7999999999993</v>
      </c>
      <c r="D222" s="82"/>
      <c r="E222" s="82"/>
      <c r="F222" s="133"/>
      <c r="I222" s="134"/>
      <c r="J222" s="134"/>
    </row>
    <row r="223" spans="1:10" x14ac:dyDescent="0.2">
      <c r="A223" s="95" t="s">
        <v>385</v>
      </c>
      <c r="B223" s="139" t="s">
        <v>35</v>
      </c>
      <c r="C223" s="139"/>
      <c r="D223" s="96">
        <f>C220*C222/12/100</f>
        <v>50.509374999999991</v>
      </c>
      <c r="E223" s="96">
        <f>D223</f>
        <v>50.509374999999991</v>
      </c>
      <c r="F223" s="133"/>
      <c r="I223" s="134"/>
      <c r="J223" s="134"/>
    </row>
    <row r="224" spans="1:10" ht="8.4499999999999993" customHeight="1" x14ac:dyDescent="0.2">
      <c r="A224" s="83"/>
      <c r="B224" s="139"/>
      <c r="C224" s="139"/>
      <c r="D224" s="146"/>
      <c r="E224" s="86"/>
      <c r="F224" s="133"/>
      <c r="I224" s="134"/>
      <c r="J224" s="134"/>
    </row>
    <row r="225" spans="1:10" x14ac:dyDescent="0.2">
      <c r="A225" s="83" t="s">
        <v>104</v>
      </c>
      <c r="B225" s="139" t="s">
        <v>63</v>
      </c>
      <c r="C225" s="164">
        <v>1</v>
      </c>
      <c r="D225" s="146">
        <f>E218+E223</f>
        <v>269.38333333333333</v>
      </c>
      <c r="E225" s="86">
        <f>C225*D225</f>
        <v>269.38333333333333</v>
      </c>
      <c r="F225" s="133"/>
      <c r="I225" s="134"/>
      <c r="J225" s="134"/>
    </row>
    <row r="226" spans="1:10" x14ac:dyDescent="0.2">
      <c r="A226" s="83" t="s">
        <v>386</v>
      </c>
      <c r="B226" s="139" t="s">
        <v>63</v>
      </c>
      <c r="C226" s="164"/>
      <c r="D226" s="146"/>
      <c r="E226" s="86">
        <f>E225*0.1</f>
        <v>26.938333333333333</v>
      </c>
      <c r="F226" s="133"/>
      <c r="I226" s="134"/>
      <c r="J226" s="134"/>
    </row>
    <row r="227" spans="1:10" ht="13.5" thickBot="1" x14ac:dyDescent="0.25">
      <c r="A227" s="95" t="s">
        <v>318</v>
      </c>
      <c r="B227" s="139"/>
      <c r="C227" s="164">
        <v>1</v>
      </c>
      <c r="D227" s="96">
        <f>E225+E226</f>
        <v>296.32166666666666</v>
      </c>
      <c r="E227" s="86">
        <f>C227*D227</f>
        <v>296.32166666666666</v>
      </c>
      <c r="F227" s="133"/>
      <c r="I227" s="134"/>
      <c r="J227" s="134"/>
    </row>
    <row r="228" spans="1:10" ht="13.5" thickBot="1" x14ac:dyDescent="0.25">
      <c r="C228" s="147"/>
      <c r="D228" s="89" t="s">
        <v>43</v>
      </c>
      <c r="E228" s="90">
        <f>E210</f>
        <v>9.0909090909090912E-2</v>
      </c>
      <c r="F228" s="167">
        <f>E227*E228</f>
        <v>26.938333333333333</v>
      </c>
      <c r="I228" s="134"/>
      <c r="J228" s="134"/>
    </row>
    <row r="229" spans="1:10" ht="11.25" customHeight="1" x14ac:dyDescent="0.2">
      <c r="I229" s="134"/>
      <c r="J229" s="134"/>
    </row>
    <row r="230" spans="1:10" ht="13.5" thickBot="1" x14ac:dyDescent="0.25">
      <c r="A230" s="155" t="s">
        <v>105</v>
      </c>
      <c r="I230" s="134"/>
      <c r="J230" s="134"/>
    </row>
    <row r="231" spans="1:10" ht="13.5" thickBot="1" x14ac:dyDescent="0.25">
      <c r="A231" s="71" t="s">
        <v>22</v>
      </c>
      <c r="B231" s="72" t="s">
        <v>23</v>
      </c>
      <c r="C231" s="72" t="s">
        <v>16</v>
      </c>
      <c r="D231" s="73" t="s">
        <v>24</v>
      </c>
      <c r="E231" s="73" t="s">
        <v>25</v>
      </c>
      <c r="F231" s="74" t="s">
        <v>26</v>
      </c>
      <c r="I231" s="134"/>
      <c r="J231" s="134"/>
    </row>
    <row r="232" spans="1:10" x14ac:dyDescent="0.2">
      <c r="A232" s="75" t="s">
        <v>106</v>
      </c>
      <c r="B232" s="132" t="s">
        <v>63</v>
      </c>
      <c r="C232" s="78">
        <f>C209</f>
        <v>1</v>
      </c>
      <c r="D232" s="78">
        <f>0.01*(C216+D203)</f>
        <v>755</v>
      </c>
      <c r="E232" s="78">
        <f>C232*D232</f>
        <v>755</v>
      </c>
      <c r="I232" s="134"/>
      <c r="J232" s="134"/>
    </row>
    <row r="233" spans="1:10" x14ac:dyDescent="0.2">
      <c r="A233" s="79" t="s">
        <v>107</v>
      </c>
      <c r="B233" s="164" t="s">
        <v>63</v>
      </c>
      <c r="C233" s="78">
        <f>C209</f>
        <v>1</v>
      </c>
      <c r="D233" s="148">
        <v>66.7</v>
      </c>
      <c r="E233" s="82">
        <f>C233*D233</f>
        <v>66.7</v>
      </c>
      <c r="I233" s="134"/>
      <c r="J233" s="134"/>
    </row>
    <row r="234" spans="1:10" x14ac:dyDescent="0.2">
      <c r="A234" s="79" t="s">
        <v>108</v>
      </c>
      <c r="B234" s="164" t="s">
        <v>63</v>
      </c>
      <c r="C234" s="78">
        <f>C209</f>
        <v>1</v>
      </c>
      <c r="D234" s="148">
        <v>2510</v>
      </c>
      <c r="E234" s="82">
        <f>C234*D234</f>
        <v>2510</v>
      </c>
      <c r="F234" s="85"/>
      <c r="I234" s="134"/>
      <c r="J234" s="134"/>
    </row>
    <row r="235" spans="1:10" ht="13.5" thickBot="1" x14ac:dyDescent="0.25">
      <c r="A235" s="95" t="s">
        <v>109</v>
      </c>
      <c r="B235" s="139" t="s">
        <v>28</v>
      </c>
      <c r="C235" s="139">
        <v>12</v>
      </c>
      <c r="D235" s="96">
        <f>SUM(E232:E234)</f>
        <v>3331.7</v>
      </c>
      <c r="E235" s="96">
        <f>D235/C235</f>
        <v>277.64166666666665</v>
      </c>
      <c r="I235" s="134"/>
      <c r="J235" s="134"/>
    </row>
    <row r="236" spans="1:10" ht="13.5" thickBot="1" x14ac:dyDescent="0.25">
      <c r="D236" s="89" t="s">
        <v>43</v>
      </c>
      <c r="E236" s="90">
        <f>E228</f>
        <v>9.0909090909090912E-2</v>
      </c>
      <c r="F236" s="91">
        <f>E235*E236</f>
        <v>25.240151515151513</v>
      </c>
      <c r="I236" s="134"/>
      <c r="J236" s="134"/>
    </row>
    <row r="237" spans="1:10" ht="11.25" customHeight="1" x14ac:dyDescent="0.2">
      <c r="I237" s="134"/>
      <c r="J237" s="134"/>
    </row>
    <row r="238" spans="1:10" x14ac:dyDescent="0.2">
      <c r="A238" s="529" t="s">
        <v>110</v>
      </c>
      <c r="B238" s="149"/>
      <c r="I238" s="134"/>
      <c r="J238" s="134"/>
    </row>
    <row r="239" spans="1:10" x14ac:dyDescent="0.2">
      <c r="B239" s="149"/>
      <c r="I239" s="134"/>
      <c r="J239" s="134"/>
    </row>
    <row r="240" spans="1:10" x14ac:dyDescent="0.2">
      <c r="A240" s="95" t="s">
        <v>111</v>
      </c>
      <c r="B240" s="150">
        <f>'10. Roteiros'!L39</f>
        <v>149.16004300000003</v>
      </c>
      <c r="I240" s="134"/>
      <c r="J240" s="134"/>
    </row>
    <row r="241" spans="1:10" ht="13.5" thickBot="1" x14ac:dyDescent="0.25">
      <c r="B241" s="149"/>
      <c r="I241" s="134"/>
      <c r="J241" s="134"/>
    </row>
    <row r="242" spans="1:10" ht="13.5" thickBot="1" x14ac:dyDescent="0.25">
      <c r="A242" s="71" t="s">
        <v>22</v>
      </c>
      <c r="B242" s="72" t="s">
        <v>23</v>
      </c>
      <c r="C242" s="72" t="s">
        <v>112</v>
      </c>
      <c r="D242" s="73" t="s">
        <v>24</v>
      </c>
      <c r="E242" s="73" t="s">
        <v>25</v>
      </c>
      <c r="F242" s="74" t="s">
        <v>26</v>
      </c>
      <c r="I242" s="134"/>
      <c r="J242" s="134"/>
    </row>
    <row r="243" spans="1:10" x14ac:dyDescent="0.2">
      <c r="A243" s="75" t="s">
        <v>113</v>
      </c>
      <c r="B243" s="132" t="s">
        <v>114</v>
      </c>
      <c r="C243" s="151">
        <v>2.5</v>
      </c>
      <c r="D243" s="152">
        <v>4.6879999999999997</v>
      </c>
      <c r="E243" s="78"/>
      <c r="I243" s="134"/>
      <c r="J243" s="134"/>
    </row>
    <row r="244" spans="1:10" x14ac:dyDescent="0.2">
      <c r="A244" s="79" t="s">
        <v>115</v>
      </c>
      <c r="B244" s="164" t="s">
        <v>116</v>
      </c>
      <c r="C244" s="101">
        <f>B240</f>
        <v>149.16004300000003</v>
      </c>
      <c r="D244" s="153">
        <f>IFERROR(+D243/C243,"-")</f>
        <v>1.8752</v>
      </c>
      <c r="E244" s="82">
        <f>IFERROR(C244*D244,"-")</f>
        <v>279.70491263360003</v>
      </c>
      <c r="I244" s="134"/>
      <c r="J244" s="134"/>
    </row>
    <row r="245" spans="1:10" x14ac:dyDescent="0.2">
      <c r="A245" s="79" t="s">
        <v>117</v>
      </c>
      <c r="B245" s="164" t="s">
        <v>118</v>
      </c>
      <c r="C245" s="154">
        <v>1.33</v>
      </c>
      <c r="D245" s="148">
        <v>15</v>
      </c>
      <c r="E245" s="82"/>
      <c r="I245" s="134"/>
      <c r="J245" s="134"/>
    </row>
    <row r="246" spans="1:10" x14ac:dyDescent="0.2">
      <c r="A246" s="79" t="s">
        <v>119</v>
      </c>
      <c r="B246" s="164" t="s">
        <v>116</v>
      </c>
      <c r="C246" s="101">
        <f>C244</f>
        <v>149.16004300000003</v>
      </c>
      <c r="D246" s="156">
        <f>+C245*D245/1000</f>
        <v>1.9950000000000002E-2</v>
      </c>
      <c r="E246" s="82">
        <f>C246*D246</f>
        <v>2.9757428578500011</v>
      </c>
      <c r="I246" s="134"/>
      <c r="J246" s="134"/>
    </row>
    <row r="247" spans="1:10" x14ac:dyDescent="0.2">
      <c r="A247" s="79" t="s">
        <v>120</v>
      </c>
      <c r="B247" s="164" t="s">
        <v>118</v>
      </c>
      <c r="C247" s="154">
        <v>0.18</v>
      </c>
      <c r="D247" s="148">
        <v>25</v>
      </c>
      <c r="E247" s="82"/>
      <c r="I247" s="134"/>
      <c r="J247" s="134"/>
    </row>
    <row r="248" spans="1:10" x14ac:dyDescent="0.2">
      <c r="A248" s="79" t="s">
        <v>121</v>
      </c>
      <c r="B248" s="164" t="s">
        <v>116</v>
      </c>
      <c r="C248" s="101">
        <f>C244</f>
        <v>149.16004300000003</v>
      </c>
      <c r="D248" s="156">
        <f>+C247*D247/1000</f>
        <v>4.4999999999999997E-3</v>
      </c>
      <c r="E248" s="82">
        <f>C248*D248</f>
        <v>0.67122019350000006</v>
      </c>
      <c r="I248" s="134"/>
      <c r="J248" s="134"/>
    </row>
    <row r="249" spans="1:10" x14ac:dyDescent="0.2">
      <c r="A249" s="79" t="s">
        <v>122</v>
      </c>
      <c r="B249" s="164" t="s">
        <v>118</v>
      </c>
      <c r="C249" s="154">
        <v>1</v>
      </c>
      <c r="D249" s="148">
        <v>21</v>
      </c>
      <c r="E249" s="82"/>
      <c r="I249" s="134"/>
      <c r="J249" s="134"/>
    </row>
    <row r="250" spans="1:10" x14ac:dyDescent="0.2">
      <c r="A250" s="79" t="s">
        <v>123</v>
      </c>
      <c r="B250" s="164" t="s">
        <v>116</v>
      </c>
      <c r="C250" s="101">
        <f>C244</f>
        <v>149.16004300000003</v>
      </c>
      <c r="D250" s="156">
        <f>+C249*D249/1000</f>
        <v>2.1000000000000001E-2</v>
      </c>
      <c r="E250" s="82">
        <f>C250*D250</f>
        <v>3.1323609030000008</v>
      </c>
      <c r="I250" s="134"/>
      <c r="J250" s="134"/>
    </row>
    <row r="251" spans="1:10" x14ac:dyDescent="0.2">
      <c r="A251" s="79" t="s">
        <v>124</v>
      </c>
      <c r="B251" s="164" t="s">
        <v>125</v>
      </c>
      <c r="C251" s="154">
        <v>2</v>
      </c>
      <c r="D251" s="148">
        <v>19</v>
      </c>
      <c r="E251" s="82"/>
      <c r="I251" s="134"/>
      <c r="J251" s="134"/>
    </row>
    <row r="252" spans="1:10" x14ac:dyDescent="0.2">
      <c r="A252" s="79" t="s">
        <v>126</v>
      </c>
      <c r="B252" s="164" t="s">
        <v>116</v>
      </c>
      <c r="C252" s="101">
        <f>C244</f>
        <v>149.16004300000003</v>
      </c>
      <c r="D252" s="156">
        <f>+C251*D251/1000</f>
        <v>3.7999999999999999E-2</v>
      </c>
      <c r="E252" s="82">
        <f>C252*D252</f>
        <v>5.6680816340000009</v>
      </c>
      <c r="I252" s="134"/>
      <c r="J252" s="134"/>
    </row>
    <row r="253" spans="1:10" hidden="1" x14ac:dyDescent="0.2">
      <c r="A253" s="75" t="s">
        <v>327</v>
      </c>
      <c r="B253" s="164" t="s">
        <v>127</v>
      </c>
      <c r="C253" s="154"/>
      <c r="D253" s="157"/>
      <c r="E253" s="82"/>
      <c r="I253" s="134"/>
      <c r="J253" s="134"/>
    </row>
    <row r="254" spans="1:10" hidden="1" x14ac:dyDescent="0.2">
      <c r="A254" s="79" t="s">
        <v>115</v>
      </c>
      <c r="B254" s="164" t="s">
        <v>128</v>
      </c>
      <c r="C254" s="101"/>
      <c r="D254" s="156">
        <f>C253*D253</f>
        <v>0</v>
      </c>
      <c r="E254" s="82">
        <f>C254*D254</f>
        <v>0</v>
      </c>
      <c r="I254" s="134"/>
      <c r="J254" s="134"/>
    </row>
    <row r="255" spans="1:10" ht="13.5" thickBot="1" x14ac:dyDescent="0.25">
      <c r="A255" s="95" t="s">
        <v>129</v>
      </c>
      <c r="B255" s="139"/>
      <c r="C255" s="158"/>
      <c r="D255" s="159"/>
      <c r="E255" s="82"/>
      <c r="I255" s="134"/>
      <c r="J255" s="134"/>
    </row>
    <row r="256" spans="1:10" ht="13.5" thickBot="1" x14ac:dyDescent="0.25">
      <c r="F256" s="167">
        <f>SUM(E243:E254)</f>
        <v>292.15231822195</v>
      </c>
      <c r="I256" s="134"/>
      <c r="J256" s="134"/>
    </row>
    <row r="257" spans="1:10" ht="11.25" customHeight="1" x14ac:dyDescent="0.2">
      <c r="I257" s="134"/>
      <c r="J257" s="134"/>
    </row>
    <row r="258" spans="1:10" ht="13.5" thickBot="1" x14ac:dyDescent="0.25">
      <c r="A258" s="155" t="s">
        <v>130</v>
      </c>
      <c r="I258" s="134"/>
      <c r="J258" s="134"/>
    </row>
    <row r="259" spans="1:10" ht="13.5" thickBot="1" x14ac:dyDescent="0.25">
      <c r="A259" s="71" t="s">
        <v>22</v>
      </c>
      <c r="B259" s="72" t="s">
        <v>23</v>
      </c>
      <c r="C259" s="72" t="s">
        <v>16</v>
      </c>
      <c r="D259" s="73" t="s">
        <v>24</v>
      </c>
      <c r="E259" s="73" t="s">
        <v>25</v>
      </c>
      <c r="F259" s="74" t="s">
        <v>26</v>
      </c>
      <c r="I259" s="134"/>
      <c r="J259" s="134"/>
    </row>
    <row r="260" spans="1:10" hidden="1" x14ac:dyDescent="0.2">
      <c r="A260" s="75"/>
      <c r="B260" s="132"/>
      <c r="C260" s="82"/>
      <c r="D260" s="77"/>
      <c r="E260" s="78">
        <f>C260*D260</f>
        <v>0</v>
      </c>
      <c r="I260" s="134"/>
      <c r="J260" s="134"/>
    </row>
    <row r="261" spans="1:10" ht="13.5" thickBot="1" x14ac:dyDescent="0.25">
      <c r="A261" s="75" t="s">
        <v>131</v>
      </c>
      <c r="B261" s="132" t="s">
        <v>132</v>
      </c>
      <c r="C261" s="82">
        <f>C244</f>
        <v>149.16004300000003</v>
      </c>
      <c r="D261" s="77">
        <v>0.82</v>
      </c>
      <c r="E261" s="78">
        <f>C261*D261</f>
        <v>122.31123526000002</v>
      </c>
      <c r="I261" s="134"/>
      <c r="J261" s="134"/>
    </row>
    <row r="262" spans="1:10" ht="13.5" thickBot="1" x14ac:dyDescent="0.25">
      <c r="F262" s="167">
        <f>E261+E260</f>
        <v>122.31123526000002</v>
      </c>
      <c r="I262" s="134"/>
      <c r="J262" s="134"/>
    </row>
    <row r="263" spans="1:10" ht="11.25" customHeight="1" x14ac:dyDescent="0.2">
      <c r="I263" s="134"/>
      <c r="J263" s="134"/>
    </row>
    <row r="264" spans="1:10" ht="13.5" thickBot="1" x14ac:dyDescent="0.25">
      <c r="A264" s="155" t="s">
        <v>133</v>
      </c>
      <c r="I264" s="134"/>
      <c r="J264" s="134"/>
    </row>
    <row r="265" spans="1:10" ht="13.5" thickBot="1" x14ac:dyDescent="0.25">
      <c r="A265" s="71" t="s">
        <v>22</v>
      </c>
      <c r="B265" s="72" t="s">
        <v>23</v>
      </c>
      <c r="C265" s="72" t="s">
        <v>16</v>
      </c>
      <c r="D265" s="73" t="s">
        <v>24</v>
      </c>
      <c r="E265" s="73" t="s">
        <v>25</v>
      </c>
      <c r="F265" s="74" t="s">
        <v>26</v>
      </c>
      <c r="I265" s="134"/>
      <c r="J265" s="134"/>
    </row>
    <row r="266" spans="1:10" x14ac:dyDescent="0.2">
      <c r="A266" s="75" t="s">
        <v>134</v>
      </c>
      <c r="B266" s="132" t="s">
        <v>63</v>
      </c>
      <c r="C266" s="160">
        <v>6</v>
      </c>
      <c r="D266" s="77">
        <v>2150</v>
      </c>
      <c r="E266" s="78">
        <f>C266*D266</f>
        <v>12900</v>
      </c>
      <c r="I266" s="134"/>
      <c r="J266" s="134"/>
    </row>
    <row r="267" spans="1:10" x14ac:dyDescent="0.2">
      <c r="A267" s="75" t="s">
        <v>135</v>
      </c>
      <c r="B267" s="132" t="s">
        <v>63</v>
      </c>
      <c r="C267" s="160">
        <v>2</v>
      </c>
      <c r="D267" s="78"/>
      <c r="E267" s="78"/>
      <c r="I267" s="134"/>
      <c r="J267" s="134"/>
    </row>
    <row r="268" spans="1:10" x14ac:dyDescent="0.2">
      <c r="A268" s="75" t="s">
        <v>136</v>
      </c>
      <c r="B268" s="132" t="s">
        <v>63</v>
      </c>
      <c r="C268" s="78">
        <f>C266*C267</f>
        <v>12</v>
      </c>
      <c r="D268" s="77">
        <v>564</v>
      </c>
      <c r="E268" s="78">
        <f>C268*D268</f>
        <v>6768</v>
      </c>
      <c r="I268" s="134"/>
      <c r="J268" s="134"/>
    </row>
    <row r="269" spans="1:10" x14ac:dyDescent="0.2">
      <c r="A269" s="79" t="s">
        <v>137</v>
      </c>
      <c r="B269" s="164" t="s">
        <v>138</v>
      </c>
      <c r="C269" s="161">
        <v>80000</v>
      </c>
      <c r="D269" s="82">
        <f>E266+E268</f>
        <v>19668</v>
      </c>
      <c r="E269" s="82">
        <f>IFERROR(D269/C269,"-")</f>
        <v>0.24585000000000001</v>
      </c>
      <c r="I269" s="134"/>
      <c r="J269" s="134"/>
    </row>
    <row r="270" spans="1:10" ht="13.5" thickBot="1" x14ac:dyDescent="0.25">
      <c r="A270" s="79" t="s">
        <v>139</v>
      </c>
      <c r="B270" s="164" t="s">
        <v>116</v>
      </c>
      <c r="C270" s="82">
        <f>B240</f>
        <v>149.16004300000003</v>
      </c>
      <c r="D270" s="82">
        <f>E269</f>
        <v>0.24585000000000001</v>
      </c>
      <c r="E270" s="82">
        <f>IFERROR(C270*D270,0)</f>
        <v>36.670996571550006</v>
      </c>
      <c r="I270" s="134"/>
      <c r="J270" s="134"/>
    </row>
    <row r="271" spans="1:10" ht="13.5" thickBot="1" x14ac:dyDescent="0.25">
      <c r="F271" s="167">
        <f>E270</f>
        <v>36.670996571550006</v>
      </c>
      <c r="I271" s="134"/>
      <c r="J271" s="134"/>
    </row>
    <row r="272" spans="1:10" ht="11.25" customHeight="1" thickBot="1" x14ac:dyDescent="0.25">
      <c r="G272" s="155"/>
    </row>
    <row r="273" spans="1:7" s="155" customFormat="1" ht="13.5" thickBot="1" x14ac:dyDescent="0.25">
      <c r="A273" s="114" t="s">
        <v>140</v>
      </c>
      <c r="B273" s="115"/>
      <c r="C273" s="115"/>
      <c r="D273" s="42"/>
      <c r="E273" s="116"/>
      <c r="F273" s="167">
        <f>+SUM(F198:F272)</f>
        <v>560.46859045754036</v>
      </c>
    </row>
    <row r="274" spans="1:7" ht="11.25" customHeight="1" x14ac:dyDescent="0.2">
      <c r="G274" s="155"/>
    </row>
    <row r="275" spans="1:7" s="155" customFormat="1" x14ac:dyDescent="0.2">
      <c r="A275" s="69" t="s">
        <v>319</v>
      </c>
      <c r="B275" s="69"/>
      <c r="C275" s="69"/>
      <c r="D275" s="27"/>
      <c r="E275" s="27"/>
      <c r="F275" s="85"/>
    </row>
    <row r="276" spans="1:7" ht="11.25" customHeight="1" thickBot="1" x14ac:dyDescent="0.25">
      <c r="G276" s="155"/>
    </row>
    <row r="277" spans="1:7" s="155" customFormat="1" ht="13.5" thickBot="1" x14ac:dyDescent="0.25">
      <c r="A277" s="71" t="s">
        <v>22</v>
      </c>
      <c r="B277" s="72" t="s">
        <v>23</v>
      </c>
      <c r="C277" s="72" t="s">
        <v>16</v>
      </c>
      <c r="D277" s="73" t="s">
        <v>24</v>
      </c>
      <c r="E277" s="73" t="s">
        <v>25</v>
      </c>
      <c r="F277" s="74" t="s">
        <v>26</v>
      </c>
    </row>
    <row r="278" spans="1:7" s="155" customFormat="1" x14ac:dyDescent="0.2">
      <c r="A278" s="79" t="s">
        <v>141</v>
      </c>
      <c r="B278" s="164" t="s">
        <v>63</v>
      </c>
      <c r="C278" s="162">
        <v>0.16666666666666699</v>
      </c>
      <c r="D278" s="77">
        <v>39</v>
      </c>
      <c r="E278" s="82">
        <f t="shared" ref="E278:E283" si="3">C278*D278</f>
        <v>6.5000000000000124</v>
      </c>
      <c r="F278" s="133"/>
    </row>
    <row r="279" spans="1:7" s="155" customFormat="1" x14ac:dyDescent="0.2">
      <c r="A279" s="79" t="s">
        <v>142</v>
      </c>
      <c r="B279" s="164" t="s">
        <v>63</v>
      </c>
      <c r="C279" s="162">
        <v>0.16666666666666699</v>
      </c>
      <c r="D279" s="77">
        <v>26.92</v>
      </c>
      <c r="E279" s="82">
        <f t="shared" si="3"/>
        <v>4.4866666666666752</v>
      </c>
      <c r="F279" s="133"/>
    </row>
    <row r="280" spans="1:7" s="155" customFormat="1" x14ac:dyDescent="0.2">
      <c r="A280" s="79" t="s">
        <v>143</v>
      </c>
      <c r="B280" s="164" t="s">
        <v>63</v>
      </c>
      <c r="C280" s="162">
        <v>0.16666666666666699</v>
      </c>
      <c r="D280" s="77">
        <v>26.19</v>
      </c>
      <c r="E280" s="82">
        <f t="shared" si="3"/>
        <v>4.3650000000000091</v>
      </c>
      <c r="F280" s="133"/>
    </row>
    <row r="281" spans="1:7" s="155" customFormat="1" x14ac:dyDescent="0.2">
      <c r="A281" s="322" t="s">
        <v>320</v>
      </c>
      <c r="B281" s="323" t="s">
        <v>321</v>
      </c>
      <c r="C281" s="118">
        <f>'8.Ton'!B8</f>
        <v>10</v>
      </c>
      <c r="D281" s="77">
        <v>100</v>
      </c>
      <c r="E281" s="324">
        <f t="shared" si="3"/>
        <v>1000</v>
      </c>
      <c r="F281" s="133"/>
    </row>
    <row r="282" spans="1:7" s="155" customFormat="1" ht="13.5" thickBot="1" x14ac:dyDescent="0.25">
      <c r="A282" s="79" t="s">
        <v>329</v>
      </c>
      <c r="B282" s="164" t="s">
        <v>330</v>
      </c>
      <c r="C282" s="321">
        <v>16</v>
      </c>
      <c r="D282" s="148">
        <v>12</v>
      </c>
      <c r="E282" s="82">
        <f t="shared" si="3"/>
        <v>192</v>
      </c>
      <c r="F282" s="133"/>
    </row>
    <row r="283" spans="1:7" s="155" customFormat="1" ht="13.5" hidden="1" thickBot="1" x14ac:dyDescent="0.25">
      <c r="A283" s="79" t="s">
        <v>144</v>
      </c>
      <c r="B283" s="164" t="s">
        <v>145</v>
      </c>
      <c r="C283" s="162"/>
      <c r="D283" s="77"/>
      <c r="E283" s="82">
        <f t="shared" si="3"/>
        <v>0</v>
      </c>
      <c r="F283" s="133"/>
    </row>
    <row r="284" spans="1:7" s="155" customFormat="1" ht="13.5" thickBot="1" x14ac:dyDescent="0.25">
      <c r="A284" s="69"/>
      <c r="B284" s="69"/>
      <c r="C284" s="69"/>
      <c r="D284" s="69"/>
      <c r="E284" s="27"/>
      <c r="F284" s="167">
        <f>SUM(E278:E283)</f>
        <v>1207.3516666666667</v>
      </c>
    </row>
    <row r="285" spans="1:7" ht="11.25" customHeight="1" thickBot="1" x14ac:dyDescent="0.25">
      <c r="G285" s="155"/>
    </row>
    <row r="286" spans="1:7" s="155" customFormat="1" ht="13.5" thickBot="1" x14ac:dyDescent="0.25">
      <c r="A286" s="114" t="s">
        <v>146</v>
      </c>
      <c r="B286" s="115"/>
      <c r="C286" s="115"/>
      <c r="D286" s="42"/>
      <c r="E286" s="116"/>
      <c r="F286" s="167">
        <f>+F284</f>
        <v>1207.3516666666667</v>
      </c>
    </row>
    <row r="287" spans="1:7" ht="11.25" customHeight="1" x14ac:dyDescent="0.2">
      <c r="G287" s="155"/>
    </row>
    <row r="288" spans="1:7" x14ac:dyDescent="0.2">
      <c r="A288" s="69" t="s">
        <v>147</v>
      </c>
      <c r="B288" s="69"/>
      <c r="C288" s="69"/>
      <c r="D288" s="27"/>
      <c r="E288" s="27"/>
      <c r="F288" s="85"/>
    </row>
    <row r="289" spans="1:7" ht="11.25" customHeight="1" thickBot="1" x14ac:dyDescent="0.25"/>
    <row r="290" spans="1:7" ht="13.5" thickBot="1" x14ac:dyDescent="0.25">
      <c r="A290" s="71" t="s">
        <v>22</v>
      </c>
      <c r="B290" s="72" t="s">
        <v>23</v>
      </c>
      <c r="C290" s="72" t="s">
        <v>16</v>
      </c>
      <c r="D290" s="73" t="s">
        <v>24</v>
      </c>
      <c r="E290" s="73" t="s">
        <v>25</v>
      </c>
      <c r="F290" s="74" t="s">
        <v>26</v>
      </c>
    </row>
    <row r="291" spans="1:7" x14ac:dyDescent="0.2">
      <c r="A291" s="79" t="s">
        <v>148</v>
      </c>
      <c r="B291" s="163" t="s">
        <v>145</v>
      </c>
      <c r="C291" s="126">
        <v>2</v>
      </c>
      <c r="D291" s="148">
        <v>600</v>
      </c>
      <c r="E291" s="82">
        <f>+D291*C291</f>
        <v>1200</v>
      </c>
      <c r="F291" s="133"/>
    </row>
    <row r="292" spans="1:7" x14ac:dyDescent="0.2">
      <c r="A292" s="79" t="s">
        <v>149</v>
      </c>
      <c r="B292" s="163" t="s">
        <v>28</v>
      </c>
      <c r="C292" s="164">
        <v>60</v>
      </c>
      <c r="D292" s="165">
        <f>SUM(E291:E291)</f>
        <v>1200</v>
      </c>
      <c r="E292" s="165">
        <f>+D292/C292</f>
        <v>20</v>
      </c>
      <c r="F292" s="133"/>
    </row>
    <row r="293" spans="1:7" x14ac:dyDescent="0.2">
      <c r="A293" s="79" t="s">
        <v>150</v>
      </c>
      <c r="B293" s="163" t="s">
        <v>28</v>
      </c>
      <c r="C293" s="164">
        <v>1</v>
      </c>
      <c r="D293" s="148">
        <v>100</v>
      </c>
      <c r="E293" s="82">
        <f>C293*D293</f>
        <v>100</v>
      </c>
      <c r="F293" s="133"/>
    </row>
    <row r="294" spans="1:7" ht="13.5" thickBot="1" x14ac:dyDescent="0.25">
      <c r="A294" s="79" t="s">
        <v>150</v>
      </c>
      <c r="B294" s="163" t="s">
        <v>151</v>
      </c>
      <c r="C294" s="164">
        <v>2</v>
      </c>
      <c r="D294" s="165">
        <f>+E293</f>
        <v>100</v>
      </c>
      <c r="E294" s="165">
        <f>C294*D294</f>
        <v>200</v>
      </c>
      <c r="F294" s="133"/>
    </row>
    <row r="295" spans="1:7" ht="13.5" thickBot="1" x14ac:dyDescent="0.25">
      <c r="A295" s="166"/>
      <c r="B295" s="166"/>
      <c r="D295" s="89" t="s">
        <v>43</v>
      </c>
      <c r="E295" s="90">
        <f>E228</f>
        <v>9.0909090909090912E-2</v>
      </c>
      <c r="F295" s="167">
        <f>(E294+E292)*E295</f>
        <v>20</v>
      </c>
    </row>
    <row r="296" spans="1:7" s="169" customFormat="1" ht="11.25" customHeight="1" thickBot="1" x14ac:dyDescent="0.25">
      <c r="A296" s="155"/>
      <c r="B296" s="155"/>
      <c r="C296" s="155"/>
      <c r="D296" s="2"/>
      <c r="E296" s="2"/>
      <c r="F296" s="2"/>
      <c r="G296" s="168"/>
    </row>
    <row r="297" spans="1:7" ht="13.5" thickBot="1" x14ac:dyDescent="0.25">
      <c r="A297" s="114" t="s">
        <v>152</v>
      </c>
      <c r="B297" s="115"/>
      <c r="C297" s="115"/>
      <c r="D297" s="42"/>
      <c r="E297" s="116"/>
      <c r="F297" s="167">
        <f>+F295</f>
        <v>20</v>
      </c>
    </row>
    <row r="298" spans="1:7" ht="11.25" customHeight="1" thickBot="1" x14ac:dyDescent="0.25"/>
    <row r="299" spans="1:7" ht="17.25" customHeight="1" thickBot="1" x14ac:dyDescent="0.25">
      <c r="A299" s="114" t="s">
        <v>153</v>
      </c>
      <c r="B299" s="127"/>
      <c r="C299" s="127"/>
      <c r="D299" s="128"/>
      <c r="E299" s="129"/>
      <c r="F299" s="105">
        <f>+F154+F190+F273+F286+F297</f>
        <v>2990.4297606826485</v>
      </c>
    </row>
    <row r="300" spans="1:7" ht="11.25" customHeight="1" x14ac:dyDescent="0.2"/>
    <row r="301" spans="1:7" x14ac:dyDescent="0.2">
      <c r="A301" s="28" t="s">
        <v>154</v>
      </c>
    </row>
    <row r="302" spans="1:7" ht="11.25" customHeight="1" thickBot="1" x14ac:dyDescent="0.25"/>
    <row r="303" spans="1:7" ht="13.5" thickBot="1" x14ac:dyDescent="0.25">
      <c r="A303" s="71" t="s">
        <v>22</v>
      </c>
      <c r="B303" s="72" t="s">
        <v>23</v>
      </c>
      <c r="C303" s="72" t="s">
        <v>16</v>
      </c>
      <c r="D303" s="73" t="s">
        <v>24</v>
      </c>
      <c r="E303" s="73" t="s">
        <v>25</v>
      </c>
      <c r="F303" s="74" t="s">
        <v>26</v>
      </c>
    </row>
    <row r="304" spans="1:7" ht="13.5" thickBot="1" x14ac:dyDescent="0.25">
      <c r="A304" s="75" t="s">
        <v>155</v>
      </c>
      <c r="B304" s="132" t="s">
        <v>12</v>
      </c>
      <c r="C304" s="87">
        <f>'7.BDI'!C21*100</f>
        <v>24.27</v>
      </c>
      <c r="D304" s="78">
        <f>+F299</f>
        <v>2990.4297606826485</v>
      </c>
      <c r="E304" s="78">
        <f>C304*D304/100</f>
        <v>725.77730291767875</v>
      </c>
    </row>
    <row r="305" spans="1:7" ht="13.5" thickBot="1" x14ac:dyDescent="0.25">
      <c r="F305" s="167">
        <f>+E304</f>
        <v>725.77730291767875</v>
      </c>
    </row>
    <row r="306" spans="1:7" ht="11.25" customHeight="1" thickBot="1" x14ac:dyDescent="0.25"/>
    <row r="307" spans="1:7" ht="13.5" thickBot="1" x14ac:dyDescent="0.25">
      <c r="A307" s="114" t="s">
        <v>156</v>
      </c>
      <c r="B307" s="127"/>
      <c r="C307" s="127"/>
      <c r="D307" s="128"/>
      <c r="E307" s="129"/>
      <c r="F307" s="105">
        <f>F305</f>
        <v>725.77730291767875</v>
      </c>
    </row>
    <row r="308" spans="1:7" x14ac:dyDescent="0.2">
      <c r="A308" s="69"/>
      <c r="B308" s="69"/>
      <c r="C308" s="69"/>
      <c r="D308" s="27"/>
      <c r="E308" s="27"/>
      <c r="F308" s="85"/>
    </row>
    <row r="309" spans="1:7" ht="11.25" customHeight="1" thickBot="1" x14ac:dyDescent="0.25"/>
    <row r="310" spans="1:7" ht="24.75" customHeight="1" thickBot="1" x14ac:dyDescent="0.25">
      <c r="A310" s="114" t="s">
        <v>157</v>
      </c>
      <c r="B310" s="127"/>
      <c r="C310" s="127"/>
      <c r="D310" s="128"/>
      <c r="E310" s="129"/>
      <c r="F310" s="105">
        <f>F299+F307</f>
        <v>3716.2070636003273</v>
      </c>
    </row>
    <row r="311" spans="1:7" ht="12.6" customHeight="1" x14ac:dyDescent="0.2">
      <c r="A311" s="170"/>
      <c r="B311" s="170"/>
      <c r="C311" s="170"/>
      <c r="D311" s="171"/>
      <c r="E311" s="171"/>
      <c r="F311" s="171"/>
    </row>
    <row r="312" spans="1:7" ht="14.25" x14ac:dyDescent="0.2">
      <c r="A312" s="247"/>
      <c r="B312" s="247"/>
      <c r="C312" s="247"/>
      <c r="D312" s="12"/>
      <c r="E312" s="12"/>
    </row>
    <row r="313" spans="1:7" ht="16.149999999999999" hidden="1" customHeight="1" x14ac:dyDescent="0.2">
      <c r="A313" s="172" t="s">
        <v>158</v>
      </c>
      <c r="B313" s="173"/>
      <c r="C313" s="173"/>
      <c r="D313" s="174">
        <f>C282</f>
        <v>16</v>
      </c>
      <c r="E313" s="175" t="s">
        <v>159</v>
      </c>
    </row>
    <row r="314" spans="1:7" hidden="1" x14ac:dyDescent="0.2"/>
    <row r="315" spans="1:7" ht="25.5" hidden="1" customHeight="1" x14ac:dyDescent="0.2">
      <c r="A315" s="114" t="s">
        <v>160</v>
      </c>
      <c r="B315" s="115"/>
      <c r="C315" s="115"/>
      <c r="D315" s="42"/>
      <c r="E315" s="176" t="s">
        <v>161</v>
      </c>
      <c r="F315" s="177"/>
    </row>
    <row r="316" spans="1:7" ht="12.6" customHeight="1" x14ac:dyDescent="0.2">
      <c r="A316" s="69"/>
      <c r="B316" s="69"/>
      <c r="C316" s="69"/>
      <c r="D316" s="27"/>
      <c r="E316" s="27"/>
      <c r="F316" s="27"/>
    </row>
    <row r="317" spans="1:7" s="5" customFormat="1" ht="13.9" customHeight="1" x14ac:dyDescent="0.2">
      <c r="A317" s="171"/>
      <c r="B317" s="2"/>
      <c r="C317" s="2"/>
      <c r="D317" s="2"/>
      <c r="E317" s="2"/>
      <c r="F317" s="27"/>
      <c r="G317" s="7"/>
    </row>
    <row r="318" spans="1:7" ht="9.75" customHeight="1" x14ac:dyDescent="0.2"/>
    <row r="319" spans="1:7" ht="9.75" customHeight="1" x14ac:dyDescent="0.2"/>
    <row r="349" ht="9" customHeight="1" x14ac:dyDescent="0.2"/>
  </sheetData>
  <mergeCells count="7">
    <mergeCell ref="A50:D50"/>
    <mergeCell ref="A13:F13"/>
    <mergeCell ref="A14:F14"/>
    <mergeCell ref="A16:F16"/>
    <mergeCell ref="A27:C27"/>
    <mergeCell ref="A42:E42"/>
    <mergeCell ref="A43:D43"/>
  </mergeCells>
  <hyperlinks>
    <hyperlink ref="A196" location="AbaDeprec" display="3.1.1. Depreciação" xr:uid="{00000000-0004-0000-0000-000000000000}"/>
    <hyperlink ref="A212" location="AbaRemun" display="3.1.2. Remuneração do Capital" xr:uid="{00000000-0004-0000-0000-000001000000}"/>
  </hyperlinks>
  <pageMargins left="0.905555555555556" right="0.51180555555555496" top="0.74791666666666701" bottom="0.74791666666666701" header="0.51180555555555496" footer="0.31527777777777799"/>
  <pageSetup paperSize="9" scale="75" firstPageNumber="0" fitToHeight="4" orientation="portrait" horizontalDpi="300" verticalDpi="300" r:id="rId1"/>
  <headerFooter>
    <oddFooter>&amp;R&amp;P de &amp;N</oddFooter>
  </headerFooter>
  <rowBreaks count="2" manualBreakCount="2">
    <brk id="126" max="16383" man="1"/>
    <brk id="211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workbookViewId="0"/>
  </sheetViews>
  <sheetFormatPr defaultColWidth="8.85546875" defaultRowHeight="12.75" x14ac:dyDescent="0.2"/>
  <cols>
    <col min="1" max="1" width="0.42578125" style="530" customWidth="1"/>
    <col min="2" max="2" width="17.5703125" style="530" customWidth="1"/>
    <col min="3" max="3" width="12" style="530" customWidth="1"/>
    <col min="4" max="4" width="16.28515625" style="530" customWidth="1"/>
    <col min="5" max="5" width="13.140625" style="530" customWidth="1"/>
    <col min="6" max="6" width="8" style="530" customWidth="1"/>
    <col min="7" max="7" width="9" style="531" customWidth="1"/>
    <col min="8" max="8" width="12.5703125" style="530" customWidth="1"/>
    <col min="9" max="9" width="12.7109375" style="530" customWidth="1"/>
    <col min="10" max="10" width="21.42578125" style="530" customWidth="1"/>
    <col min="11" max="11" width="11.7109375" style="530" customWidth="1"/>
    <col min="12" max="12" width="8" style="530" customWidth="1"/>
    <col min="13" max="13" width="11" style="530" customWidth="1"/>
    <col min="14" max="16384" width="8.85546875" style="530"/>
  </cols>
  <sheetData>
    <row r="1" spans="1:13" ht="13.5" thickBot="1" x14ac:dyDescent="0.25">
      <c r="H1" s="532"/>
      <c r="I1" s="532"/>
      <c r="K1" s="531"/>
    </row>
    <row r="2" spans="1:13" ht="15.75" thickBot="1" x14ac:dyDescent="0.3">
      <c r="B2" s="643" t="s">
        <v>334</v>
      </c>
      <c r="C2" s="644"/>
      <c r="D2" s="644"/>
      <c r="E2" s="644"/>
      <c r="F2" s="645"/>
      <c r="H2" s="643" t="s">
        <v>335</v>
      </c>
      <c r="I2" s="644"/>
      <c r="J2" s="644"/>
      <c r="K2" s="644"/>
      <c r="L2" s="645"/>
      <c r="M2" s="533"/>
    </row>
    <row r="3" spans="1:13" ht="13.5" thickBot="1" x14ac:dyDescent="0.25">
      <c r="A3" s="532"/>
      <c r="B3" s="610"/>
      <c r="C3" s="611"/>
      <c r="D3" s="611"/>
      <c r="E3" s="611"/>
      <c r="F3" s="612"/>
      <c r="G3" s="534"/>
      <c r="H3" s="610"/>
      <c r="I3" s="611"/>
      <c r="J3" s="611"/>
      <c r="K3" s="611"/>
      <c r="L3" s="612"/>
      <c r="M3" s="533"/>
    </row>
    <row r="4" spans="1:13" ht="15.75" thickBot="1" x14ac:dyDescent="0.3">
      <c r="B4" s="613" t="s">
        <v>432</v>
      </c>
      <c r="C4" s="614"/>
      <c r="D4" s="614"/>
      <c r="E4" s="614"/>
      <c r="F4" s="615"/>
      <c r="G4" s="534"/>
      <c r="H4" s="643" t="s">
        <v>433</v>
      </c>
      <c r="I4" s="644"/>
      <c r="J4" s="644"/>
      <c r="K4" s="644"/>
      <c r="L4" s="645"/>
      <c r="M4" s="535"/>
    </row>
    <row r="5" spans="1:13" ht="15" x14ac:dyDescent="0.25">
      <c r="B5" s="619" t="s">
        <v>337</v>
      </c>
      <c r="C5" s="620"/>
      <c r="D5" s="620"/>
      <c r="E5" s="620"/>
      <c r="F5" s="621"/>
      <c r="G5" s="534"/>
      <c r="H5" s="633" t="s">
        <v>338</v>
      </c>
      <c r="I5" s="634"/>
      <c r="J5" s="634"/>
      <c r="K5" s="634"/>
      <c r="L5" s="635"/>
      <c r="M5" s="535"/>
    </row>
    <row r="6" spans="1:13" x14ac:dyDescent="0.2">
      <c r="A6" s="536"/>
      <c r="B6" s="537" t="s">
        <v>343</v>
      </c>
      <c r="C6" s="538" t="s">
        <v>344</v>
      </c>
      <c r="D6" s="538" t="s">
        <v>345</v>
      </c>
      <c r="E6" s="538" t="s">
        <v>346</v>
      </c>
      <c r="F6" s="539" t="s">
        <v>347</v>
      </c>
      <c r="G6" s="534"/>
      <c r="H6" s="616" t="s">
        <v>436</v>
      </c>
      <c r="I6" s="617"/>
      <c r="J6" s="618"/>
      <c r="K6" s="540">
        <v>2</v>
      </c>
      <c r="L6" s="541" t="s">
        <v>116</v>
      </c>
      <c r="M6" s="535"/>
    </row>
    <row r="7" spans="1:13" x14ac:dyDescent="0.2">
      <c r="A7" s="536"/>
      <c r="B7" s="537" t="s">
        <v>348</v>
      </c>
      <c r="C7" s="538" t="s">
        <v>437</v>
      </c>
      <c r="D7" s="542" t="s">
        <v>349</v>
      </c>
      <c r="E7" s="543">
        <v>3085.92</v>
      </c>
      <c r="F7" s="544" t="s">
        <v>350</v>
      </c>
      <c r="G7" s="545"/>
      <c r="H7" s="616" t="s">
        <v>438</v>
      </c>
      <c r="I7" s="617"/>
      <c r="J7" s="618"/>
      <c r="K7" s="546">
        <f>E16</f>
        <v>38.498180100000006</v>
      </c>
      <c r="L7" s="541" t="s">
        <v>116</v>
      </c>
      <c r="M7" s="535"/>
    </row>
    <row r="8" spans="1:13" x14ac:dyDescent="0.2">
      <c r="B8" s="537" t="s">
        <v>353</v>
      </c>
      <c r="C8" s="538" t="s">
        <v>440</v>
      </c>
      <c r="D8" s="542" t="s">
        <v>354</v>
      </c>
      <c r="E8" s="543">
        <v>4511.1000000000004</v>
      </c>
      <c r="F8" s="544" t="s">
        <v>350</v>
      </c>
      <c r="G8" s="545"/>
      <c r="H8" s="616" t="s">
        <v>441</v>
      </c>
      <c r="I8" s="617"/>
      <c r="J8" s="618"/>
      <c r="K8" s="543">
        <v>2</v>
      </c>
      <c r="L8" s="541" t="s">
        <v>116</v>
      </c>
      <c r="M8" s="553"/>
    </row>
    <row r="9" spans="1:13" ht="15" customHeight="1" x14ac:dyDescent="0.2">
      <c r="B9" s="537" t="s">
        <v>355</v>
      </c>
      <c r="C9" s="538" t="s">
        <v>442</v>
      </c>
      <c r="D9" s="542" t="s">
        <v>356</v>
      </c>
      <c r="E9" s="543">
        <v>9482.0053000000007</v>
      </c>
      <c r="F9" s="544" t="s">
        <v>350</v>
      </c>
      <c r="G9" s="545"/>
      <c r="H9" s="616" t="s">
        <v>443</v>
      </c>
      <c r="I9" s="617"/>
      <c r="J9" s="618"/>
      <c r="K9" s="543">
        <v>20</v>
      </c>
      <c r="L9" s="541" t="s">
        <v>116</v>
      </c>
      <c r="M9" s="535"/>
    </row>
    <row r="10" spans="1:13" ht="15.75" thickBot="1" x14ac:dyDescent="0.3">
      <c r="B10" s="537" t="s">
        <v>358</v>
      </c>
      <c r="C10" s="538" t="s">
        <v>444</v>
      </c>
      <c r="D10" s="542" t="s">
        <v>359</v>
      </c>
      <c r="E10" s="543">
        <v>2461.9899999999998</v>
      </c>
      <c r="F10" s="544" t="s">
        <v>350</v>
      </c>
      <c r="G10" s="545"/>
      <c r="H10" s="622" t="s">
        <v>360</v>
      </c>
      <c r="I10" s="623"/>
      <c r="J10" s="624"/>
      <c r="K10" s="556">
        <f>SUM(K6:K9)</f>
        <v>62.498180100000006</v>
      </c>
      <c r="L10" s="557" t="s">
        <v>116</v>
      </c>
      <c r="M10" s="535"/>
    </row>
    <row r="11" spans="1:13" ht="12.75" customHeight="1" x14ac:dyDescent="0.2">
      <c r="B11" s="537" t="s">
        <v>362</v>
      </c>
      <c r="C11" s="538" t="s">
        <v>445</v>
      </c>
      <c r="D11" s="542" t="s">
        <v>363</v>
      </c>
      <c r="E11" s="543">
        <v>5405</v>
      </c>
      <c r="F11" s="544" t="s">
        <v>350</v>
      </c>
      <c r="G11" s="545"/>
      <c r="H11" s="625"/>
      <c r="I11" s="626"/>
      <c r="J11" s="626"/>
      <c r="K11" s="626"/>
      <c r="L11" s="627"/>
      <c r="M11" s="558"/>
    </row>
    <row r="12" spans="1:13" ht="15.75" thickBot="1" x14ac:dyDescent="0.3">
      <c r="B12" s="537" t="s">
        <v>364</v>
      </c>
      <c r="C12" s="538" t="s">
        <v>446</v>
      </c>
      <c r="D12" s="542" t="s">
        <v>365</v>
      </c>
      <c r="E12" s="543">
        <v>3554.5821999999998</v>
      </c>
      <c r="F12" s="544" t="s">
        <v>350</v>
      </c>
      <c r="G12" s="545"/>
      <c r="H12" s="628"/>
      <c r="I12" s="629"/>
      <c r="J12" s="629"/>
      <c r="K12" s="629"/>
      <c r="L12" s="630"/>
      <c r="M12" s="559"/>
    </row>
    <row r="13" spans="1:13" ht="15.75" thickBot="1" x14ac:dyDescent="0.3">
      <c r="B13" s="537" t="s">
        <v>366</v>
      </c>
      <c r="C13" s="538" t="s">
        <v>448</v>
      </c>
      <c r="D13" s="542" t="s">
        <v>367</v>
      </c>
      <c r="E13" s="543">
        <v>3530.3207000000002</v>
      </c>
      <c r="F13" s="544" t="s">
        <v>350</v>
      </c>
      <c r="G13" s="545"/>
      <c r="H13" s="643" t="s">
        <v>449</v>
      </c>
      <c r="I13" s="644"/>
      <c r="J13" s="644"/>
      <c r="K13" s="644"/>
      <c r="L13" s="645"/>
      <c r="M13" s="559"/>
    </row>
    <row r="14" spans="1:13" ht="15" customHeight="1" x14ac:dyDescent="0.25">
      <c r="B14" s="537" t="s">
        <v>369</v>
      </c>
      <c r="C14" s="538" t="s">
        <v>450</v>
      </c>
      <c r="D14" s="542" t="s">
        <v>370</v>
      </c>
      <c r="E14" s="543">
        <v>3542.8899000000001</v>
      </c>
      <c r="F14" s="544" t="s">
        <v>350</v>
      </c>
      <c r="G14" s="545"/>
      <c r="H14" s="633" t="s">
        <v>368</v>
      </c>
      <c r="I14" s="634"/>
      <c r="J14" s="634"/>
      <c r="K14" s="634"/>
      <c r="L14" s="635"/>
      <c r="M14" s="560"/>
    </row>
    <row r="15" spans="1:13" ht="15" customHeight="1" x14ac:dyDescent="0.2">
      <c r="B15" s="537" t="s">
        <v>371</v>
      </c>
      <c r="C15" s="538" t="s">
        <v>451</v>
      </c>
      <c r="D15" s="542" t="s">
        <v>372</v>
      </c>
      <c r="E15" s="543">
        <v>2924.3719999999998</v>
      </c>
      <c r="F15" s="544" t="s">
        <v>350</v>
      </c>
      <c r="G15" s="545"/>
      <c r="H15" s="616" t="s">
        <v>436</v>
      </c>
      <c r="I15" s="617"/>
      <c r="J15" s="618"/>
      <c r="K15" s="540">
        <v>2</v>
      </c>
      <c r="L15" s="541" t="s">
        <v>116</v>
      </c>
      <c r="M15" s="560"/>
    </row>
    <row r="16" spans="1:13" ht="15.75" customHeight="1" thickBot="1" x14ac:dyDescent="0.3">
      <c r="B16" s="631" t="s">
        <v>373</v>
      </c>
      <c r="C16" s="632"/>
      <c r="D16" s="632"/>
      <c r="E16" s="561">
        <f>SUM(E7:E15)/1000</f>
        <v>38.498180100000006</v>
      </c>
      <c r="F16" s="562" t="s">
        <v>116</v>
      </c>
      <c r="G16" s="545"/>
      <c r="H16" s="616" t="s">
        <v>438</v>
      </c>
      <c r="I16" s="617"/>
      <c r="J16" s="618"/>
      <c r="K16" s="546">
        <f>E30</f>
        <v>50.580021500000008</v>
      </c>
      <c r="L16" s="541" t="s">
        <v>116</v>
      </c>
      <c r="M16" s="560"/>
    </row>
    <row r="17" spans="2:14" ht="13.5" thickBot="1" x14ac:dyDescent="0.25">
      <c r="B17" s="563"/>
      <c r="C17" s="564"/>
      <c r="D17" s="564"/>
      <c r="E17" s="564"/>
      <c r="F17" s="565"/>
      <c r="G17" s="545"/>
      <c r="H17" s="616" t="s">
        <v>441</v>
      </c>
      <c r="I17" s="617"/>
      <c r="J17" s="618"/>
      <c r="K17" s="543">
        <v>2</v>
      </c>
      <c r="L17" s="541" t="s">
        <v>116</v>
      </c>
      <c r="M17" s="560"/>
    </row>
    <row r="18" spans="2:14" ht="15.75" customHeight="1" thickBot="1" x14ac:dyDescent="0.3">
      <c r="B18" s="613" t="s">
        <v>374</v>
      </c>
      <c r="C18" s="614"/>
      <c r="D18" s="614"/>
      <c r="E18" s="614"/>
      <c r="F18" s="615"/>
      <c r="G18" s="545"/>
      <c r="H18" s="616" t="s">
        <v>443</v>
      </c>
      <c r="I18" s="617"/>
      <c r="J18" s="618"/>
      <c r="K18" s="543">
        <v>20</v>
      </c>
      <c r="L18" s="541" t="s">
        <v>116</v>
      </c>
      <c r="M18" s="560"/>
    </row>
    <row r="19" spans="2:14" ht="15.75" thickBot="1" x14ac:dyDescent="0.3">
      <c r="B19" s="619" t="s">
        <v>337</v>
      </c>
      <c r="C19" s="620"/>
      <c r="D19" s="620"/>
      <c r="E19" s="620"/>
      <c r="F19" s="621"/>
      <c r="G19" s="545"/>
      <c r="H19" s="622" t="s">
        <v>360</v>
      </c>
      <c r="I19" s="623"/>
      <c r="J19" s="624"/>
      <c r="K19" s="556">
        <f>SUM(K15:K18)</f>
        <v>74.580021500000015</v>
      </c>
      <c r="L19" s="557" t="s">
        <v>116</v>
      </c>
      <c r="M19" s="560"/>
    </row>
    <row r="20" spans="2:14" x14ac:dyDescent="0.2">
      <c r="B20" s="537" t="s">
        <v>343</v>
      </c>
      <c r="C20" s="538" t="s">
        <v>344</v>
      </c>
      <c r="D20" s="538" t="s">
        <v>345</v>
      </c>
      <c r="E20" s="538" t="s">
        <v>346</v>
      </c>
      <c r="F20" s="539" t="s">
        <v>347</v>
      </c>
      <c r="G20" s="545"/>
      <c r="H20" s="625"/>
      <c r="I20" s="626"/>
      <c r="J20" s="626"/>
      <c r="K20" s="626"/>
      <c r="L20" s="627"/>
      <c r="M20" s="560"/>
    </row>
    <row r="21" spans="2:14" ht="13.5" thickBot="1" x14ac:dyDescent="0.25">
      <c r="B21" s="537" t="s">
        <v>348</v>
      </c>
      <c r="C21" s="538" t="s">
        <v>437</v>
      </c>
      <c r="D21" s="542" t="s">
        <v>349</v>
      </c>
      <c r="E21" s="543">
        <v>3085.92</v>
      </c>
      <c r="F21" s="544" t="s">
        <v>350</v>
      </c>
      <c r="G21" s="545"/>
      <c r="H21" s="628"/>
      <c r="I21" s="629"/>
      <c r="J21" s="629"/>
      <c r="K21" s="629"/>
      <c r="L21" s="630"/>
      <c r="M21" s="560"/>
    </row>
    <row r="22" spans="2:14" ht="15" x14ac:dyDescent="0.25">
      <c r="B22" s="537" t="s">
        <v>353</v>
      </c>
      <c r="C22" s="538" t="s">
        <v>440</v>
      </c>
      <c r="D22" s="542" t="s">
        <v>354</v>
      </c>
      <c r="E22" s="543">
        <v>8293.5804000000007</v>
      </c>
      <c r="F22" s="544" t="s">
        <v>350</v>
      </c>
      <c r="G22" s="545"/>
      <c r="H22" s="568"/>
      <c r="I22" s="568"/>
      <c r="J22" s="568"/>
      <c r="K22" s="568"/>
      <c r="L22" s="568"/>
      <c r="M22" s="560"/>
    </row>
    <row r="23" spans="2:14" ht="15.75" thickBot="1" x14ac:dyDescent="0.3">
      <c r="B23" s="537" t="s">
        <v>355</v>
      </c>
      <c r="C23" s="538" t="s">
        <v>442</v>
      </c>
      <c r="D23" s="542" t="s">
        <v>356</v>
      </c>
      <c r="E23" s="543">
        <v>9482.0053000000007</v>
      </c>
      <c r="F23" s="544" t="s">
        <v>350</v>
      </c>
      <c r="G23" s="545"/>
      <c r="H23" s="568"/>
      <c r="I23" s="568"/>
      <c r="J23" s="568"/>
      <c r="K23" s="568"/>
      <c r="L23" s="568"/>
      <c r="M23" s="535"/>
      <c r="N23" s="532"/>
    </row>
    <row r="24" spans="2:14" ht="12.75" customHeight="1" thickBot="1" x14ac:dyDescent="0.3">
      <c r="B24" s="537" t="s">
        <v>358</v>
      </c>
      <c r="C24" s="538" t="s">
        <v>444</v>
      </c>
      <c r="D24" s="542" t="s">
        <v>359</v>
      </c>
      <c r="E24" s="543">
        <v>8057.4233999999997</v>
      </c>
      <c r="F24" s="544" t="s">
        <v>350</v>
      </c>
      <c r="G24" s="545"/>
      <c r="H24" s="662" t="s">
        <v>336</v>
      </c>
      <c r="I24" s="663"/>
      <c r="J24" s="663"/>
      <c r="K24" s="663"/>
      <c r="L24" s="663"/>
      <c r="M24" s="664"/>
      <c r="N24" s="532"/>
    </row>
    <row r="25" spans="2:14" ht="15" customHeight="1" thickBot="1" x14ac:dyDescent="0.25">
      <c r="B25" s="537" t="s">
        <v>362</v>
      </c>
      <c r="C25" s="538" t="s">
        <v>445</v>
      </c>
      <c r="D25" s="542" t="s">
        <v>363</v>
      </c>
      <c r="E25" s="543">
        <v>7164.723</v>
      </c>
      <c r="F25" s="544" t="s">
        <v>350</v>
      </c>
      <c r="G25" s="545"/>
      <c r="H25" s="665"/>
      <c r="I25" s="666"/>
      <c r="J25" s="666"/>
      <c r="K25" s="666"/>
      <c r="L25" s="666"/>
      <c r="M25" s="667"/>
      <c r="N25" s="532"/>
    </row>
    <row r="26" spans="2:14" ht="15.75" thickBot="1" x14ac:dyDescent="0.25">
      <c r="B26" s="537" t="s">
        <v>364</v>
      </c>
      <c r="C26" s="538" t="s">
        <v>446</v>
      </c>
      <c r="D26" s="542" t="s">
        <v>365</v>
      </c>
      <c r="E26" s="543">
        <v>4498.7867999999999</v>
      </c>
      <c r="F26" s="544" t="s">
        <v>350</v>
      </c>
      <c r="G26" s="545"/>
      <c r="H26" s="659" t="s">
        <v>434</v>
      </c>
      <c r="I26" s="660"/>
      <c r="J26" s="660"/>
      <c r="K26" s="660"/>
      <c r="L26" s="660"/>
      <c r="M26" s="661"/>
      <c r="N26" s="532"/>
    </row>
    <row r="27" spans="2:14" x14ac:dyDescent="0.2">
      <c r="B27" s="537" t="s">
        <v>366</v>
      </c>
      <c r="C27" s="538" t="s">
        <v>448</v>
      </c>
      <c r="D27" s="542" t="s">
        <v>367</v>
      </c>
      <c r="E27" s="543">
        <v>3530.3207000000002</v>
      </c>
      <c r="F27" s="544" t="s">
        <v>350</v>
      </c>
      <c r="G27" s="545"/>
      <c r="H27" s="646" t="s">
        <v>339</v>
      </c>
      <c r="I27" s="648" t="s">
        <v>340</v>
      </c>
      <c r="J27" s="648" t="s">
        <v>435</v>
      </c>
      <c r="K27" s="648"/>
      <c r="L27" s="648" t="s">
        <v>341</v>
      </c>
      <c r="M27" s="651" t="s">
        <v>342</v>
      </c>
      <c r="N27" s="532"/>
    </row>
    <row r="28" spans="2:14" x14ac:dyDescent="0.2">
      <c r="B28" s="537" t="s">
        <v>369</v>
      </c>
      <c r="C28" s="538" t="s">
        <v>450</v>
      </c>
      <c r="D28" s="542" t="s">
        <v>370</v>
      </c>
      <c r="E28" s="543">
        <v>3542.8899000000001</v>
      </c>
      <c r="F28" s="544" t="s">
        <v>350</v>
      </c>
      <c r="G28" s="545"/>
      <c r="H28" s="647"/>
      <c r="I28" s="649"/>
      <c r="J28" s="650"/>
      <c r="K28" s="650"/>
      <c r="L28" s="649"/>
      <c r="M28" s="652"/>
      <c r="N28" s="532"/>
    </row>
    <row r="29" spans="2:14" x14ac:dyDescent="0.2">
      <c r="B29" s="537" t="s">
        <v>371</v>
      </c>
      <c r="C29" s="538" t="s">
        <v>451</v>
      </c>
      <c r="D29" s="542" t="s">
        <v>372</v>
      </c>
      <c r="E29" s="543">
        <v>2924.3719999999998</v>
      </c>
      <c r="F29" s="544" t="s">
        <v>350</v>
      </c>
      <c r="G29" s="545"/>
      <c r="H29" s="547" t="s">
        <v>351</v>
      </c>
      <c r="I29" s="548" t="s">
        <v>439</v>
      </c>
      <c r="J29" s="549">
        <v>2</v>
      </c>
      <c r="K29" s="550" t="s">
        <v>352</v>
      </c>
      <c r="L29" s="551">
        <f>K10</f>
        <v>62.498180100000006</v>
      </c>
      <c r="M29" s="552" t="s">
        <v>116</v>
      </c>
      <c r="N29" s="532"/>
    </row>
    <row r="30" spans="2:14" ht="15.75" thickBot="1" x14ac:dyDescent="0.3">
      <c r="B30" s="631" t="s">
        <v>373</v>
      </c>
      <c r="C30" s="632"/>
      <c r="D30" s="632"/>
      <c r="E30" s="561">
        <f>SUM(E21:E29)/1000</f>
        <v>50.580021500000008</v>
      </c>
      <c r="F30" s="562" t="s">
        <v>116</v>
      </c>
      <c r="G30" s="545"/>
      <c r="H30" s="653"/>
      <c r="I30" s="654"/>
      <c r="J30" s="654"/>
      <c r="K30" s="654"/>
      <c r="L30" s="654"/>
      <c r="M30" s="655"/>
      <c r="N30" s="532"/>
    </row>
    <row r="31" spans="2:14" ht="15.75" thickBot="1" x14ac:dyDescent="0.3">
      <c r="B31" s="610"/>
      <c r="C31" s="611"/>
      <c r="D31" s="611"/>
      <c r="E31" s="611"/>
      <c r="F31" s="612"/>
      <c r="G31" s="545"/>
      <c r="H31" s="656" t="s">
        <v>361</v>
      </c>
      <c r="I31" s="657"/>
      <c r="J31" s="657"/>
      <c r="K31" s="658"/>
      <c r="L31" s="554">
        <f>(L29*J29)</f>
        <v>124.99636020000001</v>
      </c>
      <c r="M31" s="555" t="s">
        <v>357</v>
      </c>
      <c r="N31" s="532"/>
    </row>
    <row r="32" spans="2:14" ht="15" x14ac:dyDescent="0.25">
      <c r="B32" s="568"/>
      <c r="C32" s="568"/>
      <c r="D32" s="568"/>
      <c r="E32" s="568"/>
      <c r="F32" s="568"/>
      <c r="G32" s="545"/>
      <c r="H32" s="625"/>
      <c r="I32" s="626"/>
      <c r="J32" s="626"/>
      <c r="K32" s="626"/>
      <c r="L32" s="626"/>
      <c r="M32" s="627"/>
      <c r="N32" s="532"/>
    </row>
    <row r="33" spans="2:14" ht="13.5" thickBot="1" x14ac:dyDescent="0.25">
      <c r="B33" s="558"/>
      <c r="C33" s="558"/>
      <c r="D33" s="558"/>
      <c r="E33" s="558"/>
      <c r="F33" s="558"/>
      <c r="G33" s="545"/>
      <c r="H33" s="628"/>
      <c r="I33" s="629"/>
      <c r="J33" s="629"/>
      <c r="K33" s="629"/>
      <c r="L33" s="629"/>
      <c r="M33" s="630"/>
      <c r="N33" s="532"/>
    </row>
    <row r="34" spans="2:14" ht="15.75" thickBot="1" x14ac:dyDescent="0.25">
      <c r="B34" s="560"/>
      <c r="C34" s="560"/>
      <c r="D34" s="560"/>
      <c r="E34" s="560"/>
      <c r="F34" s="560"/>
      <c r="G34" s="545"/>
      <c r="H34" s="640" t="s">
        <v>447</v>
      </c>
      <c r="I34" s="641"/>
      <c r="J34" s="641"/>
      <c r="K34" s="641"/>
      <c r="L34" s="641"/>
      <c r="M34" s="642"/>
      <c r="N34" s="532"/>
    </row>
    <row r="35" spans="2:14" x14ac:dyDescent="0.2">
      <c r="B35" s="560"/>
      <c r="C35" s="560"/>
      <c r="D35" s="571"/>
      <c r="E35" s="569"/>
      <c r="F35" s="532"/>
      <c r="H35" s="646" t="s">
        <v>339</v>
      </c>
      <c r="I35" s="648" t="s">
        <v>340</v>
      </c>
      <c r="J35" s="648" t="s">
        <v>435</v>
      </c>
      <c r="K35" s="648"/>
      <c r="L35" s="648" t="s">
        <v>341</v>
      </c>
      <c r="M35" s="651" t="s">
        <v>342</v>
      </c>
      <c r="N35" s="532"/>
    </row>
    <row r="36" spans="2:14" x14ac:dyDescent="0.2">
      <c r="B36" s="560"/>
      <c r="C36" s="560"/>
      <c r="D36" s="571"/>
      <c r="E36" s="569"/>
      <c r="F36" s="532"/>
      <c r="H36" s="647"/>
      <c r="I36" s="649"/>
      <c r="J36" s="650"/>
      <c r="K36" s="650"/>
      <c r="L36" s="649"/>
      <c r="M36" s="652"/>
      <c r="N36" s="532"/>
    </row>
    <row r="37" spans="2:14" x14ac:dyDescent="0.2">
      <c r="B37" s="560"/>
      <c r="C37" s="560"/>
      <c r="D37" s="571"/>
      <c r="E37" s="569"/>
      <c r="F37" s="532"/>
      <c r="H37" s="547" t="s">
        <v>374</v>
      </c>
      <c r="I37" s="548" t="s">
        <v>452</v>
      </c>
      <c r="J37" s="549">
        <v>2</v>
      </c>
      <c r="K37" s="550" t="s">
        <v>352</v>
      </c>
      <c r="L37" s="551">
        <f>K19</f>
        <v>74.580021500000015</v>
      </c>
      <c r="M37" s="552" t="s">
        <v>116</v>
      </c>
      <c r="N37" s="532"/>
    </row>
    <row r="38" spans="2:14" ht="13.5" thickBot="1" x14ac:dyDescent="0.25">
      <c r="B38" s="560"/>
      <c r="C38" s="560"/>
      <c r="D38" s="571"/>
      <c r="E38" s="569"/>
      <c r="F38" s="532"/>
      <c r="H38" s="636"/>
      <c r="I38" s="637"/>
      <c r="J38" s="638"/>
      <c r="K38" s="638"/>
      <c r="L38" s="637"/>
      <c r="M38" s="639"/>
      <c r="N38" s="532"/>
    </row>
    <row r="39" spans="2:14" ht="15.75" thickBot="1" x14ac:dyDescent="0.3">
      <c r="B39" s="570"/>
      <c r="C39" s="570"/>
      <c r="D39" s="570"/>
      <c r="E39" s="572"/>
      <c r="F39" s="573"/>
      <c r="H39" s="640" t="s">
        <v>361</v>
      </c>
      <c r="I39" s="641"/>
      <c r="J39" s="641"/>
      <c r="K39" s="641"/>
      <c r="L39" s="566">
        <f>(J37*L37)</f>
        <v>149.16004300000003</v>
      </c>
      <c r="M39" s="567" t="s">
        <v>357</v>
      </c>
      <c r="N39" s="532"/>
    </row>
    <row r="40" spans="2:14" ht="15" x14ac:dyDescent="0.25">
      <c r="B40" s="558"/>
      <c r="C40" s="558"/>
      <c r="D40" s="558"/>
      <c r="E40" s="558"/>
      <c r="F40" s="558"/>
      <c r="H40" s="568"/>
      <c r="I40" s="568"/>
      <c r="J40" s="568"/>
      <c r="K40" s="568"/>
      <c r="L40" s="568"/>
      <c r="N40" s="532"/>
    </row>
    <row r="41" spans="2:14" x14ac:dyDescent="0.2">
      <c r="K41" s="531"/>
    </row>
  </sheetData>
  <mergeCells count="46">
    <mergeCell ref="B2:F2"/>
    <mergeCell ref="H2:L2"/>
    <mergeCell ref="H24:M24"/>
    <mergeCell ref="B3:F3"/>
    <mergeCell ref="H3:L3"/>
    <mergeCell ref="B4:F4"/>
    <mergeCell ref="H4:L4"/>
    <mergeCell ref="H26:M26"/>
    <mergeCell ref="B5:F5"/>
    <mergeCell ref="H5:L5"/>
    <mergeCell ref="H25:M25"/>
    <mergeCell ref="H6:J6"/>
    <mergeCell ref="H7:J7"/>
    <mergeCell ref="H8:J8"/>
    <mergeCell ref="H30:M30"/>
    <mergeCell ref="H9:J9"/>
    <mergeCell ref="H27:H28"/>
    <mergeCell ref="I27:I28"/>
    <mergeCell ref="J27:K28"/>
    <mergeCell ref="L27:L28"/>
    <mergeCell ref="M27:M28"/>
    <mergeCell ref="H39:K39"/>
    <mergeCell ref="H10:J10"/>
    <mergeCell ref="H32:M33"/>
    <mergeCell ref="H11:L12"/>
    <mergeCell ref="H34:M34"/>
    <mergeCell ref="H13:L13"/>
    <mergeCell ref="H35:H36"/>
    <mergeCell ref="I35:I36"/>
    <mergeCell ref="J35:K36"/>
    <mergeCell ref="L35:L36"/>
    <mergeCell ref="M35:M36"/>
    <mergeCell ref="H31:K31"/>
    <mergeCell ref="H14:L14"/>
    <mergeCell ref="H15:J15"/>
    <mergeCell ref="B16:D16"/>
    <mergeCell ref="H16:J16"/>
    <mergeCell ref="H38:M38"/>
    <mergeCell ref="H17:J17"/>
    <mergeCell ref="B31:F31"/>
    <mergeCell ref="B18:F18"/>
    <mergeCell ref="H18:J18"/>
    <mergeCell ref="B19:F19"/>
    <mergeCell ref="H19:J19"/>
    <mergeCell ref="H20:L21"/>
    <mergeCell ref="B30:D30"/>
  </mergeCells>
  <pageMargins left="1.1023622047244095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17"/>
  <sheetViews>
    <sheetView workbookViewId="0"/>
  </sheetViews>
  <sheetFormatPr defaultRowHeight="12.75" x14ac:dyDescent="0.2"/>
  <cols>
    <col min="1" max="1" width="24.5703125" style="123" customWidth="1"/>
    <col min="2" max="2" width="20.85546875" style="123" customWidth="1"/>
    <col min="3" max="1025" width="9.140625" style="123" customWidth="1"/>
  </cols>
  <sheetData>
    <row r="1" spans="1:2" ht="19.5" customHeight="1" x14ac:dyDescent="0.2">
      <c r="A1" s="668" t="s">
        <v>305</v>
      </c>
      <c r="B1" s="668"/>
    </row>
    <row r="2" spans="1:2" s="179" customFormat="1" ht="19.5" customHeight="1" x14ac:dyDescent="0.2">
      <c r="A2" s="303" t="s">
        <v>306</v>
      </c>
      <c r="B2" s="304" t="s">
        <v>307</v>
      </c>
    </row>
    <row r="3" spans="1:2" ht="19.5" customHeight="1" x14ac:dyDescent="0.2">
      <c r="A3" s="305">
        <v>1</v>
      </c>
      <c r="B3" s="306">
        <v>33.630000000000003</v>
      </c>
    </row>
    <row r="4" spans="1:2" ht="19.5" customHeight="1" x14ac:dyDescent="0.2">
      <c r="A4" s="305">
        <v>2</v>
      </c>
      <c r="B4" s="306">
        <v>43.13</v>
      </c>
    </row>
    <row r="5" spans="1:2" ht="19.5" customHeight="1" x14ac:dyDescent="0.2">
      <c r="A5" s="305">
        <v>3</v>
      </c>
      <c r="B5" s="306">
        <v>48.68</v>
      </c>
    </row>
    <row r="6" spans="1:2" ht="19.5" customHeight="1" x14ac:dyDescent="0.2">
      <c r="A6" s="305">
        <v>4</v>
      </c>
      <c r="B6" s="306">
        <v>52.62</v>
      </c>
    </row>
    <row r="7" spans="1:2" ht="19.5" customHeight="1" x14ac:dyDescent="0.2">
      <c r="A7" s="305">
        <v>5</v>
      </c>
      <c r="B7" s="306">
        <v>55.68</v>
      </c>
    </row>
    <row r="8" spans="1:2" ht="19.5" customHeight="1" x14ac:dyDescent="0.2">
      <c r="A8" s="305">
        <v>6</v>
      </c>
      <c r="B8" s="306">
        <v>58.18</v>
      </c>
    </row>
    <row r="9" spans="1:2" ht="19.5" customHeight="1" x14ac:dyDescent="0.2">
      <c r="A9" s="305">
        <v>7</v>
      </c>
      <c r="B9" s="306">
        <v>60.29</v>
      </c>
    </row>
    <row r="10" spans="1:2" ht="19.5" customHeight="1" x14ac:dyDescent="0.2">
      <c r="A10" s="305">
        <v>8</v>
      </c>
      <c r="B10" s="306">
        <v>62.12</v>
      </c>
    </row>
    <row r="11" spans="1:2" ht="19.5" customHeight="1" x14ac:dyDescent="0.2">
      <c r="A11" s="305">
        <v>9</v>
      </c>
      <c r="B11" s="306">
        <v>63.73</v>
      </c>
    </row>
    <row r="12" spans="1:2" ht="19.5" customHeight="1" x14ac:dyDescent="0.2">
      <c r="A12" s="305">
        <v>10</v>
      </c>
      <c r="B12" s="306">
        <v>65.180000000000007</v>
      </c>
    </row>
    <row r="13" spans="1:2" ht="19.5" customHeight="1" x14ac:dyDescent="0.2">
      <c r="A13" s="305">
        <v>11</v>
      </c>
      <c r="B13" s="306">
        <v>66.48</v>
      </c>
    </row>
    <row r="14" spans="1:2" ht="19.5" customHeight="1" x14ac:dyDescent="0.2">
      <c r="A14" s="305">
        <v>12</v>
      </c>
      <c r="B14" s="306">
        <v>67.67</v>
      </c>
    </row>
    <row r="15" spans="1:2" ht="19.5" customHeight="1" x14ac:dyDescent="0.2">
      <c r="A15" s="305">
        <v>13</v>
      </c>
      <c r="B15" s="306">
        <v>68.77</v>
      </c>
    </row>
    <row r="16" spans="1:2" ht="19.5" customHeight="1" x14ac:dyDescent="0.2">
      <c r="A16" s="305">
        <v>14</v>
      </c>
      <c r="B16" s="306">
        <v>69.790000000000006</v>
      </c>
    </row>
    <row r="17" spans="1:4" ht="19.5" customHeight="1" x14ac:dyDescent="0.2">
      <c r="A17" s="307">
        <v>15</v>
      </c>
      <c r="B17" s="308">
        <v>70.73</v>
      </c>
      <c r="D17" s="309"/>
    </row>
  </sheetData>
  <mergeCells count="1">
    <mergeCell ref="A1:B1"/>
  </mergeCells>
  <pageMargins left="0.905555555555556" right="0.51180555555555496" top="0.74791666666666701" bottom="0.74791666666666701" header="0.51180555555555496" footer="0.51180555555555496"/>
  <pageSetup paperSize="9" firstPageNumber="0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17"/>
  <sheetViews>
    <sheetView workbookViewId="0"/>
  </sheetViews>
  <sheetFormatPr defaultRowHeight="12.75" x14ac:dyDescent="0.2"/>
  <cols>
    <col min="1" max="1" width="70.42578125" style="123" customWidth="1"/>
    <col min="2" max="3" width="9.140625" style="123" customWidth="1"/>
    <col min="4" max="4" width="12.85546875" style="123" customWidth="1"/>
    <col min="5" max="1025" width="9.140625" style="123" customWidth="1"/>
  </cols>
  <sheetData>
    <row r="1" spans="1:1" ht="18" x14ac:dyDescent="0.25">
      <c r="A1" s="310" t="s">
        <v>308</v>
      </c>
    </row>
    <row r="2" spans="1:1" x14ac:dyDescent="0.2">
      <c r="A2" s="311"/>
    </row>
    <row r="3" spans="1:1" x14ac:dyDescent="0.2">
      <c r="A3" s="311" t="s">
        <v>309</v>
      </c>
    </row>
    <row r="4" spans="1:1" x14ac:dyDescent="0.2">
      <c r="A4" s="311"/>
    </row>
    <row r="5" spans="1:1" x14ac:dyDescent="0.2">
      <c r="A5" s="311"/>
    </row>
    <row r="6" spans="1:1" x14ac:dyDescent="0.2">
      <c r="A6" s="311"/>
    </row>
    <row r="7" spans="1:1" x14ac:dyDescent="0.2">
      <c r="A7" s="311"/>
    </row>
    <row r="8" spans="1:1" x14ac:dyDescent="0.2">
      <c r="A8" s="311"/>
    </row>
    <row r="9" spans="1:1" x14ac:dyDescent="0.2">
      <c r="A9" s="311"/>
    </row>
    <row r="10" spans="1:1" x14ac:dyDescent="0.2">
      <c r="A10" s="311"/>
    </row>
    <row r="11" spans="1:1" x14ac:dyDescent="0.2">
      <c r="A11" s="311"/>
    </row>
    <row r="12" spans="1:1" ht="19.5" x14ac:dyDescent="0.35">
      <c r="A12" s="312" t="s">
        <v>310</v>
      </c>
    </row>
    <row r="13" spans="1:1" ht="15" x14ac:dyDescent="0.2">
      <c r="A13" s="312" t="s">
        <v>311</v>
      </c>
    </row>
    <row r="14" spans="1:1" ht="15" x14ac:dyDescent="0.2">
      <c r="A14" s="312" t="s">
        <v>312</v>
      </c>
    </row>
    <row r="15" spans="1:1" ht="19.5" x14ac:dyDescent="0.35">
      <c r="A15" s="312" t="s">
        <v>313</v>
      </c>
    </row>
    <row r="16" spans="1:1" ht="19.5" x14ac:dyDescent="0.35">
      <c r="A16" s="312" t="s">
        <v>314</v>
      </c>
    </row>
    <row r="17" spans="1:1" ht="15" x14ac:dyDescent="0.2">
      <c r="A17" s="313" t="s">
        <v>315</v>
      </c>
    </row>
  </sheetData>
  <pageMargins left="0.905555555555556" right="0.51180555555555496" top="0.74791666666666701" bottom="0.74791666666666701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49"/>
  <sheetViews>
    <sheetView workbookViewId="0"/>
  </sheetViews>
  <sheetFormatPr defaultRowHeight="12.75" x14ac:dyDescent="0.2"/>
  <cols>
    <col min="1" max="1" width="44.5703125" style="1" customWidth="1"/>
    <col min="2" max="2" width="16" style="1" customWidth="1"/>
    <col min="3" max="3" width="11.85546875" style="1" customWidth="1"/>
    <col min="4" max="4" width="14.7109375" style="2" customWidth="1"/>
    <col min="5" max="5" width="15.42578125" style="2" customWidth="1"/>
    <col min="6" max="6" width="13.28515625" style="2" customWidth="1"/>
    <col min="7" max="7" width="28.140625" style="2" customWidth="1"/>
    <col min="8" max="8" width="9.140625" style="1" customWidth="1"/>
    <col min="9" max="9" width="14.5703125" style="1" customWidth="1"/>
    <col min="10" max="10" width="13.42578125" style="1" customWidth="1"/>
    <col min="11" max="1025" width="9.140625" style="1" customWidth="1"/>
  </cols>
  <sheetData>
    <row r="1" spans="1:7" ht="15.75" x14ac:dyDescent="0.2">
      <c r="A1" s="3" t="s">
        <v>326</v>
      </c>
    </row>
    <row r="2" spans="1:7" ht="15.75" hidden="1" x14ac:dyDescent="0.2">
      <c r="A2" s="3" t="s">
        <v>0</v>
      </c>
    </row>
    <row r="3" spans="1:7" ht="15.75" hidden="1" x14ac:dyDescent="0.2">
      <c r="A3" s="4" t="s">
        <v>1</v>
      </c>
    </row>
    <row r="4" spans="1:7" ht="15.75" hidden="1" x14ac:dyDescent="0.2">
      <c r="A4" s="4" t="s">
        <v>2</v>
      </c>
    </row>
    <row r="5" spans="1:7" ht="15.75" hidden="1" x14ac:dyDescent="0.2">
      <c r="A5" s="4" t="s">
        <v>3</v>
      </c>
    </row>
    <row r="6" spans="1:7" s="5" customFormat="1" ht="15.6" hidden="1" customHeight="1" x14ac:dyDescent="0.2">
      <c r="A6" s="3" t="s">
        <v>4</v>
      </c>
      <c r="C6" s="6"/>
      <c r="D6" s="6"/>
      <c r="E6" s="6"/>
      <c r="F6" s="6"/>
      <c r="G6" s="7"/>
    </row>
    <row r="7" spans="1:7" s="5" customFormat="1" ht="15.6" hidden="1" customHeight="1" x14ac:dyDescent="0.2">
      <c r="A7" s="8" t="s">
        <v>5</v>
      </c>
      <c r="B7" s="6"/>
      <c r="C7" s="6"/>
      <c r="D7" s="6"/>
      <c r="E7" s="6"/>
      <c r="F7" s="6"/>
      <c r="G7" s="7"/>
    </row>
    <row r="8" spans="1:7" s="5" customFormat="1" ht="15.6" hidden="1" customHeight="1" x14ac:dyDescent="0.2">
      <c r="A8" s="9"/>
      <c r="B8" s="6"/>
      <c r="C8" s="6"/>
      <c r="D8" s="6"/>
      <c r="E8" s="6"/>
      <c r="F8" s="6"/>
      <c r="G8" s="7"/>
    </row>
    <row r="9" spans="1:7" s="5" customFormat="1" ht="15.6" hidden="1" customHeight="1" x14ac:dyDescent="0.2">
      <c r="A9" s="10" t="s">
        <v>6</v>
      </c>
      <c r="B9" s="6"/>
      <c r="C9" s="6"/>
      <c r="D9" s="6"/>
      <c r="E9" s="6"/>
      <c r="F9" s="6"/>
      <c r="G9" s="7"/>
    </row>
    <row r="10" spans="1:7" s="5" customFormat="1" ht="15.6" hidden="1" customHeight="1" x14ac:dyDescent="0.2">
      <c r="A10" s="4" t="s">
        <v>7</v>
      </c>
      <c r="B10" s="6"/>
      <c r="C10" s="6"/>
      <c r="D10" s="6"/>
      <c r="E10" s="6"/>
      <c r="F10" s="6"/>
      <c r="G10" s="7"/>
    </row>
    <row r="11" spans="1:7" s="5" customFormat="1" ht="16.5" hidden="1" customHeight="1" x14ac:dyDescent="0.2">
      <c r="A11" s="1"/>
      <c r="B11" s="11"/>
      <c r="C11" s="11"/>
      <c r="D11" s="7"/>
      <c r="E11" s="7"/>
      <c r="F11" s="7"/>
      <c r="G11" s="7"/>
    </row>
    <row r="12" spans="1:7" s="5" customFormat="1" ht="16.5" customHeight="1" x14ac:dyDescent="0.2">
      <c r="A12" s="196" t="s">
        <v>426</v>
      </c>
      <c r="B12" s="11"/>
      <c r="C12" s="11"/>
      <c r="D12" s="7"/>
      <c r="E12" s="7"/>
      <c r="F12" s="7"/>
      <c r="G12" s="7"/>
    </row>
    <row r="13" spans="1:7" s="13" customFormat="1" ht="18" x14ac:dyDescent="0.2">
      <c r="A13" s="576" t="s">
        <v>453</v>
      </c>
      <c r="B13" s="576"/>
      <c r="C13" s="576"/>
      <c r="D13" s="576"/>
      <c r="E13" s="576"/>
      <c r="F13" s="576"/>
      <c r="G13" s="12"/>
    </row>
    <row r="14" spans="1:7" s="13" customFormat="1" ht="21.75" customHeight="1" x14ac:dyDescent="0.2">
      <c r="A14" s="577" t="s">
        <v>8</v>
      </c>
      <c r="B14" s="577"/>
      <c r="C14" s="577"/>
      <c r="D14" s="577"/>
      <c r="E14" s="577"/>
      <c r="F14" s="577"/>
      <c r="G14" s="12"/>
    </row>
    <row r="15" spans="1:7" s="5" customFormat="1" ht="10.9" customHeight="1" x14ac:dyDescent="0.2">
      <c r="A15" s="14"/>
      <c r="B15" s="15"/>
      <c r="C15" s="15"/>
      <c r="D15" s="7"/>
      <c r="E15" s="7"/>
      <c r="F15" s="16"/>
      <c r="G15" s="7"/>
    </row>
    <row r="16" spans="1:7" s="5" customFormat="1" ht="15.75" customHeight="1" x14ac:dyDescent="0.2">
      <c r="A16" s="578" t="s">
        <v>9</v>
      </c>
      <c r="B16" s="578"/>
      <c r="C16" s="578"/>
      <c r="D16" s="578"/>
      <c r="E16" s="578"/>
      <c r="F16" s="578"/>
      <c r="G16" s="7"/>
    </row>
    <row r="17" spans="1:7" s="5" customFormat="1" ht="15.75" customHeight="1" x14ac:dyDescent="0.2">
      <c r="A17" s="17" t="s">
        <v>10</v>
      </c>
      <c r="B17" s="18"/>
      <c r="C17" s="18"/>
      <c r="D17" s="19"/>
      <c r="E17" s="20" t="s">
        <v>11</v>
      </c>
      <c r="F17" s="21" t="s">
        <v>12</v>
      </c>
      <c r="G17" s="7"/>
    </row>
    <row r="18" spans="1:7" s="28" customFormat="1" ht="15.75" customHeight="1" x14ac:dyDescent="0.2">
      <c r="A18" s="22" t="str">
        <f>A56</f>
        <v>1. Mão-de-obra</v>
      </c>
      <c r="B18" s="23"/>
      <c r="C18" s="24"/>
      <c r="D18" s="24"/>
      <c r="E18" s="25">
        <f>+F154</f>
        <v>1184.2378671948052</v>
      </c>
      <c r="F18" s="26">
        <f t="shared" ref="F18:F38" si="0">IFERROR(E18/$E$39,0)</f>
        <v>0.32571444095409147</v>
      </c>
      <c r="G18" s="27"/>
    </row>
    <row r="19" spans="1:7" s="5" customFormat="1" ht="15.75" customHeight="1" x14ac:dyDescent="0.2">
      <c r="A19" s="29" t="str">
        <f>A58</f>
        <v>1.1. Coletor Turno Dia</v>
      </c>
      <c r="B19" s="30"/>
      <c r="C19" s="31"/>
      <c r="D19" s="31"/>
      <c r="E19" s="32">
        <f>F69</f>
        <v>604.45900199999994</v>
      </c>
      <c r="F19" s="33">
        <f t="shared" si="0"/>
        <v>0.16625125016688175</v>
      </c>
      <c r="G19" s="7"/>
    </row>
    <row r="20" spans="1:7" s="5" customFormat="1" ht="15.75" customHeight="1" x14ac:dyDescent="0.2">
      <c r="A20" s="29" t="str">
        <f>A71</f>
        <v xml:space="preserve">1.2. Supervisor dos serviços </v>
      </c>
      <c r="B20" s="30"/>
      <c r="C20" s="31"/>
      <c r="D20" s="31"/>
      <c r="E20" s="32">
        <f>F88</f>
        <v>142.07900928571428</v>
      </c>
      <c r="F20" s="33">
        <f t="shared" si="0"/>
        <v>3.9077609627893341E-2</v>
      </c>
      <c r="G20" s="7"/>
    </row>
    <row r="21" spans="1:7" s="5" customFormat="1" ht="15.75" customHeight="1" x14ac:dyDescent="0.2">
      <c r="A21" s="29" t="str">
        <f>A90</f>
        <v>1.3. Motorista Turno do Dia</v>
      </c>
      <c r="B21" s="30"/>
      <c r="C21" s="31"/>
      <c r="D21" s="31"/>
      <c r="E21" s="32">
        <f>F103</f>
        <v>312.54268500000001</v>
      </c>
      <c r="F21" s="33">
        <f t="shared" si="0"/>
        <v>8.5962177649500746E-2</v>
      </c>
      <c r="G21" s="7"/>
    </row>
    <row r="22" spans="1:7" s="5" customFormat="1" ht="15.75" hidden="1" customHeight="1" x14ac:dyDescent="0.2">
      <c r="A22" s="29" t="str">
        <f>A106</f>
        <v xml:space="preserve">1.4. Operador de Máquinas </v>
      </c>
      <c r="B22" s="30"/>
      <c r="C22" s="31"/>
      <c r="D22" s="31"/>
      <c r="E22" s="32">
        <f>F125</f>
        <v>0</v>
      </c>
      <c r="F22" s="33">
        <f t="shared" si="0"/>
        <v>0</v>
      </c>
      <c r="G22" s="7"/>
    </row>
    <row r="23" spans="1:7" s="5" customFormat="1" ht="15.75" customHeight="1" x14ac:dyDescent="0.2">
      <c r="A23" s="29" t="str">
        <f>A127</f>
        <v>1.4. Vale Transporte</v>
      </c>
      <c r="B23" s="30"/>
      <c r="C23" s="31"/>
      <c r="D23" s="31"/>
      <c r="E23" s="32">
        <f>F133</f>
        <v>8.0840800000000037</v>
      </c>
      <c r="F23" s="33">
        <f t="shared" si="0"/>
        <v>2.2234566811018992E-3</v>
      </c>
      <c r="G23" s="7"/>
    </row>
    <row r="24" spans="1:7" s="5" customFormat="1" ht="15.75" customHeight="1" x14ac:dyDescent="0.2">
      <c r="A24" s="29" t="str">
        <f>A135</f>
        <v>1.5. Vale-refeição (diário)</v>
      </c>
      <c r="B24" s="30"/>
      <c r="C24" s="31"/>
      <c r="D24" s="31"/>
      <c r="E24" s="32">
        <f>F140</f>
        <v>107.62</v>
      </c>
      <c r="F24" s="33">
        <f t="shared" si="0"/>
        <v>2.9599955470528034E-2</v>
      </c>
      <c r="G24" s="7"/>
    </row>
    <row r="25" spans="1:7" s="5" customFormat="1" ht="15.75" customHeight="1" x14ac:dyDescent="0.2">
      <c r="A25" s="29" t="str">
        <f>A142</f>
        <v>1.6. Auxílio Alimentação (mensal)</v>
      </c>
      <c r="B25" s="30"/>
      <c r="C25" s="31"/>
      <c r="D25" s="31"/>
      <c r="E25" s="32">
        <f>F146</f>
        <v>6.6130909090909107</v>
      </c>
      <c r="F25" s="33">
        <f t="shared" si="0"/>
        <v>1.8188737821189808E-3</v>
      </c>
      <c r="G25" s="7"/>
    </row>
    <row r="26" spans="1:7" s="5" customFormat="1" ht="15.75" customHeight="1" x14ac:dyDescent="0.2">
      <c r="A26" s="29" t="str">
        <f>A148</f>
        <v xml:space="preserve">1.7. Plano de Benefício Social  </v>
      </c>
      <c r="B26" s="30"/>
      <c r="C26" s="31"/>
      <c r="D26" s="31"/>
      <c r="E26" s="32">
        <f>F152</f>
        <v>2.84</v>
      </c>
      <c r="F26" s="33">
        <f t="shared" si="0"/>
        <v>7.8111757606671257E-4</v>
      </c>
      <c r="G26" s="7"/>
    </row>
    <row r="27" spans="1:7" s="28" customFormat="1" ht="15.75" customHeight="1" x14ac:dyDescent="0.2">
      <c r="A27" s="579" t="str">
        <f>A156</f>
        <v>2. Uniformes e Equipamentos de Proteção Individual</v>
      </c>
      <c r="B27" s="579"/>
      <c r="C27" s="579"/>
      <c r="D27" s="24"/>
      <c r="E27" s="25">
        <f>+F190</f>
        <v>33.11363636363636</v>
      </c>
      <c r="F27" s="26">
        <f t="shared" si="0"/>
        <v>9.1076209053233045E-3</v>
      </c>
      <c r="G27" s="27"/>
    </row>
    <row r="28" spans="1:7" s="28" customFormat="1" ht="15.75" customHeight="1" x14ac:dyDescent="0.2">
      <c r="A28" s="34" t="str">
        <f>A192</f>
        <v>3. Veículos e Equipamentos</v>
      </c>
      <c r="B28" s="35"/>
      <c r="C28" s="24"/>
      <c r="D28" s="24"/>
      <c r="E28" s="25">
        <f>+F273</f>
        <v>481.03617188359414</v>
      </c>
      <c r="F28" s="26">
        <f t="shared" si="0"/>
        <v>0.13230486217680409</v>
      </c>
      <c r="G28" s="27"/>
    </row>
    <row r="29" spans="1:7" s="5" customFormat="1" ht="15.75" customHeight="1" x14ac:dyDescent="0.2">
      <c r="A29" s="36" t="str">
        <f>A194</f>
        <v xml:space="preserve">3.1. Veículo Coletor com caçamba/gaiola  </v>
      </c>
      <c r="B29" s="37"/>
      <c r="C29" s="31"/>
      <c r="D29" s="31"/>
      <c r="E29" s="32">
        <f>SUM(E30:E35)</f>
        <v>481.03617188359414</v>
      </c>
      <c r="F29" s="38">
        <f t="shared" si="0"/>
        <v>0.13230486217680409</v>
      </c>
      <c r="G29" s="7"/>
    </row>
    <row r="30" spans="1:7" s="5" customFormat="1" ht="15.75" customHeight="1" x14ac:dyDescent="0.2">
      <c r="A30" s="36" t="str">
        <f>A196</f>
        <v>3.1.1. Depreciação</v>
      </c>
      <c r="B30" s="37"/>
      <c r="C30" s="31"/>
      <c r="D30" s="31"/>
      <c r="E30" s="32">
        <f>F210</f>
        <v>46.43888888888889</v>
      </c>
      <c r="F30" s="38">
        <f t="shared" si="0"/>
        <v>1.2772617015535311E-2</v>
      </c>
      <c r="G30" s="7"/>
    </row>
    <row r="31" spans="1:7" s="5" customFormat="1" ht="15.75" customHeight="1" x14ac:dyDescent="0.2">
      <c r="A31" s="36" t="str">
        <f>A212</f>
        <v>3.1.2. Remuneração do Capital</v>
      </c>
      <c r="B31" s="37"/>
      <c r="C31" s="31"/>
      <c r="D31" s="31"/>
      <c r="E31" s="32">
        <f>F228</f>
        <v>32.180364583333336</v>
      </c>
      <c r="F31" s="38">
        <f t="shared" si="0"/>
        <v>8.8509325282663462E-3</v>
      </c>
      <c r="G31" s="7"/>
    </row>
    <row r="32" spans="1:7" s="5" customFormat="1" ht="15.75" customHeight="1" x14ac:dyDescent="0.2">
      <c r="A32" s="36" t="str">
        <f>A230</f>
        <v>3.1.3. Impostos e Seguros</v>
      </c>
      <c r="B32" s="37"/>
      <c r="C32" s="31"/>
      <c r="D32" s="31"/>
      <c r="E32" s="32">
        <f>F236</f>
        <v>25.240151515151513</v>
      </c>
      <c r="F32" s="38">
        <f t="shared" si="0"/>
        <v>6.9420866095322937E-3</v>
      </c>
      <c r="G32" s="7"/>
    </row>
    <row r="33" spans="1:7" s="5" customFormat="1" ht="15.75" customHeight="1" x14ac:dyDescent="0.2">
      <c r="A33" s="36" t="str">
        <f>A238</f>
        <v>3.1.4. Consumos</v>
      </c>
      <c r="B33" s="37"/>
      <c r="C33" s="31"/>
      <c r="D33" s="31"/>
      <c r="E33" s="32">
        <f>F256</f>
        <v>243.94939637705042</v>
      </c>
      <c r="F33" s="38">
        <f t="shared" si="0"/>
        <v>6.7096183514429336E-2</v>
      </c>
      <c r="G33" s="7"/>
    </row>
    <row r="34" spans="1:7" s="5" customFormat="1" ht="15.75" customHeight="1" x14ac:dyDescent="0.2">
      <c r="A34" s="36" t="str">
        <f>A258</f>
        <v>3.1.5. Manutenção</v>
      </c>
      <c r="B34" s="37"/>
      <c r="C34" s="31"/>
      <c r="D34" s="31"/>
      <c r="E34" s="32">
        <f>F262</f>
        <v>102.49701536400001</v>
      </c>
      <c r="F34" s="38">
        <f t="shared" si="0"/>
        <v>2.8190922603943763E-2</v>
      </c>
      <c r="G34" s="7"/>
    </row>
    <row r="35" spans="1:7" s="5" customFormat="1" ht="15.75" customHeight="1" x14ac:dyDescent="0.2">
      <c r="A35" s="36" t="str">
        <f>A264</f>
        <v>3.1.6. Pneus</v>
      </c>
      <c r="B35" s="37"/>
      <c r="C35" s="31"/>
      <c r="D35" s="31"/>
      <c r="E35" s="32">
        <f>F271</f>
        <v>30.730355155170006</v>
      </c>
      <c r="F35" s="38">
        <f t="shared" si="0"/>
        <v>8.4521199050970434E-3</v>
      </c>
      <c r="G35" s="7"/>
    </row>
    <row r="36" spans="1:7" s="28" customFormat="1" ht="15.75" customHeight="1" x14ac:dyDescent="0.2">
      <c r="A36" s="34" t="str">
        <f>A275</f>
        <v xml:space="preserve">4. Ferramentas e materiais e Destino Final materiais </v>
      </c>
      <c r="B36" s="35"/>
      <c r="C36" s="24"/>
      <c r="D36" s="24"/>
      <c r="E36" s="25">
        <f>+F286</f>
        <v>1207.3516666666667</v>
      </c>
      <c r="F36" s="26">
        <f t="shared" si="0"/>
        <v>0.33207169272069448</v>
      </c>
      <c r="G36" s="27"/>
    </row>
    <row r="37" spans="1:7" s="28" customFormat="1" ht="15.75" customHeight="1" x14ac:dyDescent="0.2">
      <c r="A37" s="34" t="str">
        <f>A288</f>
        <v xml:space="preserve">5. Monitoramento da frota  </v>
      </c>
      <c r="B37" s="35"/>
      <c r="C37" s="24"/>
      <c r="D37" s="24"/>
      <c r="E37" s="25">
        <f>+F297</f>
        <v>20</v>
      </c>
      <c r="F37" s="26">
        <f t="shared" si="0"/>
        <v>5.5008280004698075E-3</v>
      </c>
      <c r="G37" s="27"/>
    </row>
    <row r="38" spans="1:7" s="28" customFormat="1" ht="15.75" customHeight="1" x14ac:dyDescent="0.2">
      <c r="A38" s="34" t="str">
        <f>A301</f>
        <v>5. Benefícios e Despesas Indiretas - BDI</v>
      </c>
      <c r="B38" s="35"/>
      <c r="C38" s="24"/>
      <c r="D38" s="24"/>
      <c r="E38" s="39">
        <f>+F307</f>
        <v>710.07693832978202</v>
      </c>
      <c r="F38" s="26">
        <f t="shared" si="0"/>
        <v>0.19530055524261689</v>
      </c>
      <c r="G38" s="27"/>
    </row>
    <row r="39" spans="1:7" s="5" customFormat="1" ht="15.75" customHeight="1" x14ac:dyDescent="0.2">
      <c r="A39" s="40" t="s">
        <v>13</v>
      </c>
      <c r="B39" s="41"/>
      <c r="C39" s="42"/>
      <c r="D39" s="42"/>
      <c r="E39" s="43">
        <f>E18+E27+E28+E36+E37+E38</f>
        <v>3635.8162804384842</v>
      </c>
      <c r="F39" s="44">
        <f>F18+F27+F28+F36+F37+F38</f>
        <v>1</v>
      </c>
      <c r="G39" s="7"/>
    </row>
    <row r="42" spans="1:7" s="5" customFormat="1" ht="15" customHeight="1" x14ac:dyDescent="0.2">
      <c r="A42" s="578" t="s">
        <v>14</v>
      </c>
      <c r="B42" s="578"/>
      <c r="C42" s="578"/>
      <c r="D42" s="578"/>
      <c r="E42" s="578"/>
      <c r="F42" s="2"/>
      <c r="G42" s="7"/>
    </row>
    <row r="43" spans="1:7" s="5" customFormat="1" ht="15" customHeight="1" x14ac:dyDescent="0.2">
      <c r="A43" s="580" t="s">
        <v>15</v>
      </c>
      <c r="B43" s="580"/>
      <c r="C43" s="580"/>
      <c r="D43" s="580"/>
      <c r="E43" s="45" t="s">
        <v>16</v>
      </c>
      <c r="F43" s="2"/>
      <c r="G43" s="7"/>
    </row>
    <row r="44" spans="1:7" s="5" customFormat="1" ht="15" customHeight="1" x14ac:dyDescent="0.2">
      <c r="A44" s="46" t="str">
        <f>+A58</f>
        <v>1.1. Coletor Turno Dia</v>
      </c>
      <c r="B44" s="47"/>
      <c r="C44" s="47"/>
      <c r="D44" s="48"/>
      <c r="E44" s="49">
        <f>C68</f>
        <v>2</v>
      </c>
      <c r="F44" s="2"/>
      <c r="G44" s="7"/>
    </row>
    <row r="45" spans="1:7" s="5" customFormat="1" ht="15" customHeight="1" x14ac:dyDescent="0.2">
      <c r="A45" s="50" t="str">
        <f>+A71</f>
        <v xml:space="preserve">1.2. Supervisor dos serviços </v>
      </c>
      <c r="B45" s="51"/>
      <c r="C45" s="51"/>
      <c r="D45" s="52"/>
      <c r="E45" s="53">
        <f>C87</f>
        <v>1</v>
      </c>
      <c r="F45" s="2"/>
      <c r="G45" s="7"/>
    </row>
    <row r="46" spans="1:7" s="5" customFormat="1" ht="15" customHeight="1" x14ac:dyDescent="0.2">
      <c r="A46" s="50" t="str">
        <f>+A90</f>
        <v>1.3. Motorista Turno do Dia</v>
      </c>
      <c r="B46" s="51"/>
      <c r="C46" s="51"/>
      <c r="D46" s="52"/>
      <c r="E46" s="53">
        <f>C102</f>
        <v>1</v>
      </c>
      <c r="F46" s="2"/>
      <c r="G46" s="7"/>
    </row>
    <row r="47" spans="1:7" s="5" customFormat="1" ht="15" hidden="1" customHeight="1" x14ac:dyDescent="0.2">
      <c r="A47" s="50"/>
      <c r="B47" s="51"/>
      <c r="C47" s="51"/>
      <c r="D47" s="52"/>
      <c r="E47" s="53"/>
      <c r="F47" s="2"/>
      <c r="G47" s="7"/>
    </row>
    <row r="48" spans="1:7" s="5" customFormat="1" ht="15" customHeight="1" x14ac:dyDescent="0.2">
      <c r="A48" s="54" t="s">
        <v>17</v>
      </c>
      <c r="B48" s="55"/>
      <c r="C48" s="55"/>
      <c r="D48" s="56"/>
      <c r="E48" s="57">
        <f>SUM(E44:E47)</f>
        <v>4</v>
      </c>
      <c r="F48" s="2"/>
      <c r="G48" s="7"/>
    </row>
    <row r="49" spans="1:7" s="5" customFormat="1" ht="15" customHeight="1" x14ac:dyDescent="0.2">
      <c r="A49" s="58"/>
      <c r="B49" s="59"/>
      <c r="C49" s="2"/>
      <c r="D49" s="2"/>
      <c r="E49" s="60"/>
      <c r="F49" s="2"/>
      <c r="G49" s="7"/>
    </row>
    <row r="50" spans="1:7" s="5" customFormat="1" ht="15" customHeight="1" x14ac:dyDescent="0.2">
      <c r="A50" s="575" t="s">
        <v>18</v>
      </c>
      <c r="B50" s="575"/>
      <c r="C50" s="575"/>
      <c r="D50" s="575"/>
      <c r="E50" s="45" t="s">
        <v>16</v>
      </c>
      <c r="F50" s="1"/>
      <c r="G50" s="7"/>
    </row>
    <row r="51" spans="1:7" s="5" customFormat="1" ht="15" customHeight="1" x14ac:dyDescent="0.2">
      <c r="A51" s="61" t="str">
        <f>+A194</f>
        <v xml:space="preserve">3.1. Veículo Coletor com caçamba/gaiola  </v>
      </c>
      <c r="B51" s="62"/>
      <c r="C51" s="62"/>
      <c r="D51" s="63"/>
      <c r="E51" s="64">
        <f>C209</f>
        <v>1</v>
      </c>
      <c r="F51" s="1"/>
      <c r="G51" s="7"/>
    </row>
    <row r="52" spans="1:7" s="5" customFormat="1" ht="15" customHeight="1" x14ac:dyDescent="0.2">
      <c r="A52" s="2"/>
      <c r="B52" s="2"/>
      <c r="C52" s="2"/>
      <c r="D52" s="9"/>
      <c r="E52" s="65"/>
      <c r="F52" s="1"/>
      <c r="G52" s="7"/>
    </row>
    <row r="53" spans="1:7" s="5" customFormat="1" x14ac:dyDescent="0.2">
      <c r="A53" s="2"/>
      <c r="B53" s="2"/>
      <c r="C53" s="2"/>
      <c r="D53" s="9"/>
      <c r="E53" s="66"/>
      <c r="F53" s="1"/>
      <c r="G53" s="7"/>
    </row>
    <row r="54" spans="1:7" s="28" customFormat="1" ht="15.75" customHeight="1" x14ac:dyDescent="0.2">
      <c r="A54" s="67" t="s">
        <v>19</v>
      </c>
      <c r="B54" s="68">
        <f>'9 Horarios'!G34</f>
        <v>9.0909090909090912E-2</v>
      </c>
      <c r="C54" s="27"/>
      <c r="D54" s="69"/>
      <c r="E54" s="70"/>
      <c r="G54" s="27"/>
    </row>
    <row r="55" spans="1:7" s="5" customFormat="1" ht="15.75" customHeight="1" x14ac:dyDescent="0.2">
      <c r="A55" s="2"/>
      <c r="B55" s="2"/>
      <c r="C55" s="2"/>
      <c r="D55" s="9"/>
      <c r="E55" s="66"/>
      <c r="F55" s="1"/>
      <c r="G55" s="7"/>
    </row>
    <row r="56" spans="1:7" ht="13.15" customHeight="1" x14ac:dyDescent="0.2">
      <c r="A56" s="28" t="s">
        <v>20</v>
      </c>
    </row>
    <row r="57" spans="1:7" ht="11.25" customHeight="1" x14ac:dyDescent="0.2"/>
    <row r="58" spans="1:7" ht="13.9" customHeight="1" x14ac:dyDescent="0.2">
      <c r="A58" s="1" t="s">
        <v>21</v>
      </c>
    </row>
    <row r="59" spans="1:7" ht="13.9" customHeight="1" x14ac:dyDescent="0.2">
      <c r="A59" s="71" t="s">
        <v>22</v>
      </c>
      <c r="B59" s="72" t="s">
        <v>23</v>
      </c>
      <c r="C59" s="72" t="s">
        <v>16</v>
      </c>
      <c r="D59" s="73" t="s">
        <v>24</v>
      </c>
      <c r="E59" s="73" t="s">
        <v>25</v>
      </c>
      <c r="F59" s="74" t="s">
        <v>26</v>
      </c>
    </row>
    <row r="60" spans="1:7" ht="13.15" customHeight="1" x14ac:dyDescent="0.2">
      <c r="A60" s="75" t="s">
        <v>27</v>
      </c>
      <c r="B60" s="76" t="s">
        <v>28</v>
      </c>
      <c r="C60" s="76">
        <v>1</v>
      </c>
      <c r="D60" s="77">
        <v>1397.27</v>
      </c>
      <c r="E60" s="78">
        <f>C60*D60</f>
        <v>1397.27</v>
      </c>
    </row>
    <row r="61" spans="1:7" hidden="1" x14ac:dyDescent="0.2">
      <c r="A61" s="79" t="s">
        <v>29</v>
      </c>
      <c r="B61" s="80" t="s">
        <v>30</v>
      </c>
      <c r="C61" s="81"/>
      <c r="D61" s="82">
        <f>D60/220*2</f>
        <v>12.702454545454545</v>
      </c>
      <c r="E61" s="82">
        <f>C61*D61</f>
        <v>0</v>
      </c>
      <c r="G61" s="2" t="s">
        <v>31</v>
      </c>
    </row>
    <row r="62" spans="1:7" ht="13.15" hidden="1" customHeight="1" x14ac:dyDescent="0.2">
      <c r="A62" s="79" t="s">
        <v>32</v>
      </c>
      <c r="B62" s="80" t="s">
        <v>30</v>
      </c>
      <c r="C62" s="81"/>
      <c r="D62" s="82">
        <f>D60/220*1.5</f>
        <v>9.5268409090909092</v>
      </c>
      <c r="E62" s="82">
        <f>C62*D62</f>
        <v>0</v>
      </c>
      <c r="G62" s="2" t="s">
        <v>33</v>
      </c>
    </row>
    <row r="63" spans="1:7" ht="13.15" hidden="1" customHeight="1" x14ac:dyDescent="0.2">
      <c r="A63" s="79" t="s">
        <v>34</v>
      </c>
      <c r="B63" s="80" t="s">
        <v>35</v>
      </c>
      <c r="D63" s="82">
        <f>63/302*(SUM(E61:E62))</f>
        <v>0</v>
      </c>
      <c r="E63" s="82">
        <f>D63</f>
        <v>0</v>
      </c>
      <c r="G63" s="2" t="s">
        <v>36</v>
      </c>
    </row>
    <row r="64" spans="1:7" x14ac:dyDescent="0.2">
      <c r="A64" s="79" t="s">
        <v>37</v>
      </c>
      <c r="B64" s="80" t="s">
        <v>12</v>
      </c>
      <c r="C64" s="80">
        <v>40</v>
      </c>
      <c r="D64" s="82">
        <f>SUM(E60:E63)</f>
        <v>1397.27</v>
      </c>
      <c r="E64" s="82">
        <f>C64*D64/100</f>
        <v>558.90800000000002</v>
      </c>
    </row>
    <row r="65" spans="1:7" x14ac:dyDescent="0.2">
      <c r="A65" s="83" t="s">
        <v>38</v>
      </c>
      <c r="B65" s="84"/>
      <c r="C65" s="84"/>
      <c r="D65" s="85"/>
      <c r="E65" s="86">
        <f>SUM(E60:E64)</f>
        <v>1956.1779999999999</v>
      </c>
    </row>
    <row r="66" spans="1:7" x14ac:dyDescent="0.2">
      <c r="A66" s="79" t="s">
        <v>39</v>
      </c>
      <c r="B66" s="80" t="s">
        <v>12</v>
      </c>
      <c r="C66" s="87">
        <f>'5.Encargos Sociais'!$C$38*100</f>
        <v>69.95</v>
      </c>
      <c r="D66" s="82">
        <f>E65</f>
        <v>1956.1779999999999</v>
      </c>
      <c r="E66" s="82">
        <f>D66*C66/100</f>
        <v>1368.346511</v>
      </c>
    </row>
    <row r="67" spans="1:7" x14ac:dyDescent="0.2">
      <c r="A67" s="83" t="s">
        <v>40</v>
      </c>
      <c r="B67" s="84"/>
      <c r="C67" s="84"/>
      <c r="D67" s="85"/>
      <c r="E67" s="86">
        <f>E65+E66</f>
        <v>3324.5245109999996</v>
      </c>
    </row>
    <row r="68" spans="1:7" x14ac:dyDescent="0.2">
      <c r="A68" s="79" t="s">
        <v>41</v>
      </c>
      <c r="B68" s="80" t="s">
        <v>42</v>
      </c>
      <c r="C68" s="88">
        <v>2</v>
      </c>
      <c r="D68" s="82">
        <f>E67</f>
        <v>3324.5245109999996</v>
      </c>
      <c r="E68" s="82">
        <f>C68*D68</f>
        <v>6649.0490219999992</v>
      </c>
      <c r="G68" s="7"/>
    </row>
    <row r="69" spans="1:7" ht="13.9" customHeight="1" x14ac:dyDescent="0.2">
      <c r="D69" s="89" t="s">
        <v>43</v>
      </c>
      <c r="E69" s="90">
        <f>$B$54</f>
        <v>9.0909090909090912E-2</v>
      </c>
      <c r="F69" s="91">
        <f>E68*E69</f>
        <v>604.45900199999994</v>
      </c>
      <c r="G69" s="7"/>
    </row>
    <row r="70" spans="1:7" ht="11.25" customHeight="1" x14ac:dyDescent="0.2"/>
    <row r="71" spans="1:7" x14ac:dyDescent="0.2">
      <c r="A71" s="1" t="s">
        <v>44</v>
      </c>
    </row>
    <row r="72" spans="1:7" x14ac:dyDescent="0.2">
      <c r="A72" s="71" t="s">
        <v>22</v>
      </c>
      <c r="B72" s="72" t="s">
        <v>23</v>
      </c>
      <c r="C72" s="72" t="s">
        <v>16</v>
      </c>
      <c r="D72" s="73" t="s">
        <v>24</v>
      </c>
      <c r="E72" s="73" t="s">
        <v>25</v>
      </c>
      <c r="F72" s="74" t="s">
        <v>26</v>
      </c>
    </row>
    <row r="73" spans="1:7" x14ac:dyDescent="0.2">
      <c r="A73" s="75" t="s">
        <v>27</v>
      </c>
      <c r="B73" s="76" t="s">
        <v>28</v>
      </c>
      <c r="C73" s="76">
        <v>1</v>
      </c>
      <c r="D73" s="316">
        <v>1755.61</v>
      </c>
      <c r="E73" s="78">
        <f>C73*D73</f>
        <v>1755.61</v>
      </c>
    </row>
    <row r="74" spans="1:7" hidden="1" x14ac:dyDescent="0.2">
      <c r="A74" s="79" t="s">
        <v>45</v>
      </c>
      <c r="B74" s="80" t="s">
        <v>46</v>
      </c>
      <c r="C74" s="81"/>
      <c r="D74" s="82"/>
      <c r="E74" s="82"/>
    </row>
    <row r="75" spans="1:7" hidden="1" x14ac:dyDescent="0.2">
      <c r="A75" s="79"/>
      <c r="B75" s="80" t="s">
        <v>47</v>
      </c>
      <c r="C75" s="92">
        <f>C74*8/7</f>
        <v>0</v>
      </c>
      <c r="D75" s="82">
        <f>D73/220*0.2</f>
        <v>1.5960090909090909</v>
      </c>
      <c r="E75" s="82">
        <f>C74*D75</f>
        <v>0</v>
      </c>
    </row>
    <row r="76" spans="1:7" hidden="1" x14ac:dyDescent="0.2">
      <c r="A76" s="79" t="s">
        <v>29</v>
      </c>
      <c r="B76" s="80" t="s">
        <v>30</v>
      </c>
      <c r="C76" s="81"/>
      <c r="D76" s="82">
        <f>D73/220*2</f>
        <v>15.960090909090908</v>
      </c>
      <c r="E76" s="82">
        <f>C76*D76</f>
        <v>0</v>
      </c>
      <c r="G76" s="2" t="s">
        <v>31</v>
      </c>
    </row>
    <row r="77" spans="1:7" hidden="1" x14ac:dyDescent="0.2">
      <c r="A77" s="79" t="s">
        <v>48</v>
      </c>
      <c r="B77" s="80" t="s">
        <v>46</v>
      </c>
      <c r="C77" s="81"/>
      <c r="D77" s="82"/>
      <c r="E77" s="82"/>
      <c r="G77" s="2" t="s">
        <v>49</v>
      </c>
    </row>
    <row r="78" spans="1:7" hidden="1" x14ac:dyDescent="0.2">
      <c r="A78" s="79"/>
      <c r="B78" s="80" t="s">
        <v>47</v>
      </c>
      <c r="C78" s="92">
        <f>C77*8/7</f>
        <v>0</v>
      </c>
      <c r="D78" s="82">
        <f>D73/220*2*1.2</f>
        <v>19.152109090909089</v>
      </c>
      <c r="E78" s="82">
        <f>C78*D78</f>
        <v>0</v>
      </c>
      <c r="G78" s="2" t="s">
        <v>49</v>
      </c>
    </row>
    <row r="79" spans="1:7" hidden="1" x14ac:dyDescent="0.2">
      <c r="A79" s="79" t="s">
        <v>32</v>
      </c>
      <c r="B79" s="80" t="s">
        <v>30</v>
      </c>
      <c r="C79" s="81"/>
      <c r="D79" s="82">
        <f>D73/220*1.5</f>
        <v>11.970068181818181</v>
      </c>
      <c r="E79" s="82">
        <f>C79*D79</f>
        <v>0</v>
      </c>
      <c r="G79" s="2" t="s">
        <v>33</v>
      </c>
    </row>
    <row r="80" spans="1:7" hidden="1" x14ac:dyDescent="0.2">
      <c r="A80" s="79" t="s">
        <v>50</v>
      </c>
      <c r="B80" s="80" t="s">
        <v>46</v>
      </c>
      <c r="C80" s="81"/>
      <c r="D80" s="82"/>
      <c r="E80" s="82"/>
      <c r="G80" s="2" t="s">
        <v>51</v>
      </c>
    </row>
    <row r="81" spans="1:7" hidden="1" x14ac:dyDescent="0.2">
      <c r="A81" s="79"/>
      <c r="B81" s="80" t="s">
        <v>47</v>
      </c>
      <c r="C81" s="82">
        <f>C80*8/7</f>
        <v>0</v>
      </c>
      <c r="D81" s="82">
        <f>D73/220*1.5*1.2</f>
        <v>14.364081818181818</v>
      </c>
      <c r="E81" s="82">
        <f>C81*D81</f>
        <v>0</v>
      </c>
      <c r="G81" s="2" t="s">
        <v>51</v>
      </c>
    </row>
    <row r="82" spans="1:7" ht="13.15" hidden="1" customHeight="1" x14ac:dyDescent="0.2">
      <c r="A82" s="79" t="s">
        <v>34</v>
      </c>
      <c r="B82" s="80" t="s">
        <v>35</v>
      </c>
      <c r="D82" s="82">
        <f>63/302*(SUM(E76:E81))</f>
        <v>0</v>
      </c>
      <c r="E82" s="82">
        <f>D82</f>
        <v>0</v>
      </c>
      <c r="G82" s="2" t="s">
        <v>36</v>
      </c>
    </row>
    <row r="83" spans="1:7" hidden="1" x14ac:dyDescent="0.2">
      <c r="A83" s="79" t="s">
        <v>37</v>
      </c>
      <c r="B83" s="80" t="s">
        <v>12</v>
      </c>
      <c r="C83" s="80">
        <v>0</v>
      </c>
      <c r="D83" s="82">
        <f>SUM(E73:E82)</f>
        <v>1755.61</v>
      </c>
      <c r="E83" s="82">
        <f>C83*D83/100</f>
        <v>0</v>
      </c>
    </row>
    <row r="84" spans="1:7" x14ac:dyDescent="0.2">
      <c r="A84" s="83" t="s">
        <v>38</v>
      </c>
      <c r="B84" s="84"/>
      <c r="C84" s="84"/>
      <c r="D84" s="85"/>
      <c r="E84" s="86">
        <f>SUM(E73:E83)</f>
        <v>1755.61</v>
      </c>
    </row>
    <row r="85" spans="1:7" x14ac:dyDescent="0.2">
      <c r="A85" s="79" t="s">
        <v>39</v>
      </c>
      <c r="B85" s="80" t="s">
        <v>12</v>
      </c>
      <c r="C85" s="87">
        <f>'5.Encargos Sociais'!$C$38*100</f>
        <v>69.95</v>
      </c>
      <c r="D85" s="82">
        <f>E84</f>
        <v>1755.61</v>
      </c>
      <c r="E85" s="82">
        <f>D85*C85/100</f>
        <v>1228.0491950000001</v>
      </c>
    </row>
    <row r="86" spans="1:7" x14ac:dyDescent="0.2">
      <c r="A86" s="83" t="s">
        <v>40</v>
      </c>
      <c r="B86" s="84"/>
      <c r="C86" s="84"/>
      <c r="D86" s="85"/>
      <c r="E86" s="86">
        <f>E84+E85</f>
        <v>2983.6591950000002</v>
      </c>
    </row>
    <row r="87" spans="1:7" x14ac:dyDescent="0.2">
      <c r="A87" s="79" t="s">
        <v>41</v>
      </c>
      <c r="B87" s="80" t="s">
        <v>42</v>
      </c>
      <c r="C87" s="88">
        <v>1</v>
      </c>
      <c r="D87" s="82">
        <f>E86</f>
        <v>2983.6591950000002</v>
      </c>
      <c r="E87" s="82">
        <f>C87*D87</f>
        <v>2983.6591950000002</v>
      </c>
    </row>
    <row r="88" spans="1:7" x14ac:dyDescent="0.2">
      <c r="A88" s="155" t="s">
        <v>333</v>
      </c>
      <c r="D88" s="89" t="s">
        <v>43</v>
      </c>
      <c r="E88" s="90">
        <f>2/42</f>
        <v>4.7619047619047616E-2</v>
      </c>
      <c r="F88" s="91">
        <f>E87*E88</f>
        <v>142.07900928571428</v>
      </c>
    </row>
    <row r="89" spans="1:7" ht="11.25" customHeight="1" x14ac:dyDescent="0.2"/>
    <row r="90" spans="1:7" x14ac:dyDescent="0.2">
      <c r="A90" s="1" t="s">
        <v>52</v>
      </c>
    </row>
    <row r="91" spans="1:7" s="93" customFormat="1" ht="13.15" customHeight="1" x14ac:dyDescent="0.2">
      <c r="A91" s="71" t="s">
        <v>22</v>
      </c>
      <c r="B91" s="72" t="s">
        <v>23</v>
      </c>
      <c r="C91" s="72" t="s">
        <v>16</v>
      </c>
      <c r="D91" s="73" t="s">
        <v>24</v>
      </c>
      <c r="E91" s="73" t="s">
        <v>25</v>
      </c>
      <c r="F91" s="74" t="s">
        <v>26</v>
      </c>
      <c r="G91" s="2"/>
    </row>
    <row r="92" spans="1:7" x14ac:dyDescent="0.2">
      <c r="A92" s="75" t="s">
        <v>53</v>
      </c>
      <c r="B92" s="76" t="s">
        <v>28</v>
      </c>
      <c r="C92" s="76">
        <v>1</v>
      </c>
      <c r="D92" s="316">
        <v>1802.93</v>
      </c>
      <c r="E92" s="78">
        <f>C92*D92</f>
        <v>1802.93</v>
      </c>
    </row>
    <row r="93" spans="1:7" x14ac:dyDescent="0.2">
      <c r="A93" s="75" t="s">
        <v>54</v>
      </c>
      <c r="B93" s="76" t="s">
        <v>28</v>
      </c>
      <c r="C93" s="76">
        <v>1</v>
      </c>
      <c r="D93" s="77">
        <v>1100</v>
      </c>
      <c r="E93" s="78"/>
    </row>
    <row r="94" spans="1:7" hidden="1" x14ac:dyDescent="0.2">
      <c r="A94" s="79" t="s">
        <v>29</v>
      </c>
      <c r="B94" s="80" t="s">
        <v>30</v>
      </c>
      <c r="C94" s="81"/>
      <c r="D94" s="82">
        <f>D92/220*2</f>
        <v>16.390272727272727</v>
      </c>
      <c r="E94" s="82">
        <f>C94*D94</f>
        <v>0</v>
      </c>
      <c r="G94" s="2" t="s">
        <v>31</v>
      </c>
    </row>
    <row r="95" spans="1:7" hidden="1" x14ac:dyDescent="0.2">
      <c r="A95" s="79" t="s">
        <v>32</v>
      </c>
      <c r="B95" s="80" t="s">
        <v>30</v>
      </c>
      <c r="C95" s="81"/>
      <c r="D95" s="82">
        <f>D92/220*1.5</f>
        <v>12.292704545454544</v>
      </c>
      <c r="E95" s="82">
        <f>C95*D95</f>
        <v>0</v>
      </c>
      <c r="G95" s="2" t="s">
        <v>33</v>
      </c>
    </row>
    <row r="96" spans="1:7" ht="13.15" hidden="1" customHeight="1" x14ac:dyDescent="0.2">
      <c r="A96" s="79" t="s">
        <v>34</v>
      </c>
      <c r="B96" s="80" t="s">
        <v>35</v>
      </c>
      <c r="D96" s="82">
        <f>63/302*(SUM(E94:E95))</f>
        <v>0</v>
      </c>
      <c r="E96" s="82">
        <f>D96</f>
        <v>0</v>
      </c>
      <c r="G96" s="2" t="s">
        <v>36</v>
      </c>
    </row>
    <row r="97" spans="1:7" hidden="1" x14ac:dyDescent="0.2">
      <c r="A97" s="79" t="s">
        <v>55</v>
      </c>
      <c r="B97" s="80"/>
      <c r="C97" s="94">
        <v>0</v>
      </c>
      <c r="D97" s="82"/>
      <c r="E97" s="82"/>
    </row>
    <row r="98" spans="1:7" x14ac:dyDescent="0.2">
      <c r="A98" s="79" t="s">
        <v>37</v>
      </c>
      <c r="B98" s="80" t="s">
        <v>12</v>
      </c>
      <c r="C98" s="88">
        <v>20</v>
      </c>
      <c r="D98" s="82">
        <f>D93</f>
        <v>1100</v>
      </c>
      <c r="E98" s="82">
        <f>C98*D98/100</f>
        <v>220</v>
      </c>
    </row>
    <row r="99" spans="1:7" s="28" customFormat="1" x14ac:dyDescent="0.2">
      <c r="A99" s="95" t="s">
        <v>38</v>
      </c>
      <c r="B99" s="84"/>
      <c r="C99" s="84"/>
      <c r="D99" s="85"/>
      <c r="E99" s="96">
        <f>SUM(E92:E98)</f>
        <v>2022.93</v>
      </c>
      <c r="F99" s="27"/>
      <c r="G99" s="27"/>
    </row>
    <row r="100" spans="1:7" x14ac:dyDescent="0.2">
      <c r="A100" s="79" t="s">
        <v>39</v>
      </c>
      <c r="B100" s="80" t="s">
        <v>12</v>
      </c>
      <c r="C100" s="87">
        <f>'5.Encargos Sociais'!$C$38*100</f>
        <v>69.95</v>
      </c>
      <c r="D100" s="82">
        <f>E99</f>
        <v>2022.93</v>
      </c>
      <c r="E100" s="82">
        <f>D100*C100/100</f>
        <v>1415.0395350000001</v>
      </c>
    </row>
    <row r="101" spans="1:7" s="28" customFormat="1" x14ac:dyDescent="0.2">
      <c r="A101" s="95" t="s">
        <v>56</v>
      </c>
      <c r="B101" s="97"/>
      <c r="C101" s="97"/>
      <c r="D101" s="98"/>
      <c r="E101" s="96">
        <f>E99+E100</f>
        <v>3437.9695350000002</v>
      </c>
      <c r="F101" s="27"/>
      <c r="G101" s="27"/>
    </row>
    <row r="102" spans="1:7" x14ac:dyDescent="0.2">
      <c r="A102" s="79" t="s">
        <v>41</v>
      </c>
      <c r="B102" s="80" t="s">
        <v>42</v>
      </c>
      <c r="C102" s="88">
        <v>1</v>
      </c>
      <c r="D102" s="82">
        <f>E101</f>
        <v>3437.9695350000002</v>
      </c>
      <c r="E102" s="82">
        <f>C102*D102</f>
        <v>3437.9695350000002</v>
      </c>
    </row>
    <row r="103" spans="1:7" x14ac:dyDescent="0.2">
      <c r="A103" s="317" t="s">
        <v>388</v>
      </c>
      <c r="D103" s="89" t="s">
        <v>43</v>
      </c>
      <c r="E103" s="90">
        <f>'9 Horarios'!G34</f>
        <v>9.0909090909090912E-2</v>
      </c>
      <c r="F103" s="91">
        <f>E102*E103</f>
        <v>312.54268500000001</v>
      </c>
    </row>
    <row r="104" spans="1:7" ht="11.25" customHeight="1" x14ac:dyDescent="0.2">
      <c r="A104" s="317" t="s">
        <v>316</v>
      </c>
    </row>
    <row r="105" spans="1:7" ht="11.25" customHeight="1" x14ac:dyDescent="0.2"/>
    <row r="106" spans="1:7" hidden="1" x14ac:dyDescent="0.2">
      <c r="A106" s="1" t="s">
        <v>57</v>
      </c>
    </row>
    <row r="107" spans="1:7" hidden="1" x14ac:dyDescent="0.2">
      <c r="A107" s="71" t="s">
        <v>22</v>
      </c>
      <c r="B107" s="72" t="s">
        <v>23</v>
      </c>
      <c r="C107" s="72" t="s">
        <v>16</v>
      </c>
      <c r="D107" s="73" t="s">
        <v>24</v>
      </c>
      <c r="E107" s="73" t="s">
        <v>25</v>
      </c>
      <c r="F107" s="74" t="s">
        <v>26</v>
      </c>
    </row>
    <row r="108" spans="1:7" hidden="1" x14ac:dyDescent="0.2">
      <c r="A108" s="75" t="s">
        <v>53</v>
      </c>
      <c r="B108" s="76" t="s">
        <v>28</v>
      </c>
      <c r="C108" s="76"/>
      <c r="D108" s="78">
        <v>1592.67</v>
      </c>
      <c r="E108" s="78">
        <f>C108*D108</f>
        <v>0</v>
      </c>
    </row>
    <row r="109" spans="1:7" hidden="1" x14ac:dyDescent="0.2">
      <c r="A109" s="75" t="s">
        <v>54</v>
      </c>
      <c r="B109" s="76" t="s">
        <v>28</v>
      </c>
      <c r="C109" s="76">
        <v>1</v>
      </c>
      <c r="D109" s="82">
        <f>D93</f>
        <v>1100</v>
      </c>
      <c r="E109" s="82"/>
    </row>
    <row r="110" spans="1:7" hidden="1" x14ac:dyDescent="0.2">
      <c r="A110" s="79" t="s">
        <v>45</v>
      </c>
      <c r="B110" s="80" t="s">
        <v>46</v>
      </c>
      <c r="C110" s="81"/>
      <c r="D110" s="79"/>
      <c r="E110" s="79"/>
    </row>
    <row r="111" spans="1:7" hidden="1" x14ac:dyDescent="0.2">
      <c r="A111" s="79"/>
      <c r="B111" s="80" t="s">
        <v>47</v>
      </c>
      <c r="C111" s="82">
        <f>C110*8/7</f>
        <v>0</v>
      </c>
      <c r="D111" s="82">
        <f>D108/220*0.2</f>
        <v>1.4478818181818183</v>
      </c>
      <c r="E111" s="82">
        <f>C110*D111</f>
        <v>0</v>
      </c>
    </row>
    <row r="112" spans="1:7" hidden="1" x14ac:dyDescent="0.2">
      <c r="A112" s="79" t="s">
        <v>29</v>
      </c>
      <c r="B112" s="80" t="s">
        <v>30</v>
      </c>
      <c r="C112" s="81"/>
      <c r="D112" s="82">
        <f>D108/220*2</f>
        <v>14.478818181818182</v>
      </c>
      <c r="E112" s="82">
        <f>C112*D112</f>
        <v>0</v>
      </c>
      <c r="G112" s="2" t="s">
        <v>31</v>
      </c>
    </row>
    <row r="113" spans="1:7" hidden="1" x14ac:dyDescent="0.2">
      <c r="A113" s="79" t="s">
        <v>48</v>
      </c>
      <c r="B113" s="80" t="s">
        <v>46</v>
      </c>
      <c r="C113" s="81"/>
      <c r="D113" s="82"/>
      <c r="E113" s="82"/>
      <c r="G113" s="2" t="s">
        <v>49</v>
      </c>
    </row>
    <row r="114" spans="1:7" hidden="1" x14ac:dyDescent="0.2">
      <c r="A114" s="79"/>
      <c r="B114" s="80" t="s">
        <v>47</v>
      </c>
      <c r="C114" s="82">
        <f>C113*8/7</f>
        <v>0</v>
      </c>
      <c r="D114" s="82">
        <f>D108/220*2*1.2</f>
        <v>17.374581818181817</v>
      </c>
      <c r="E114" s="82">
        <f>C114*D114</f>
        <v>0</v>
      </c>
      <c r="G114" s="2" t="s">
        <v>49</v>
      </c>
    </row>
    <row r="115" spans="1:7" hidden="1" x14ac:dyDescent="0.2">
      <c r="A115" s="79" t="s">
        <v>32</v>
      </c>
      <c r="B115" s="80" t="s">
        <v>30</v>
      </c>
      <c r="C115" s="81"/>
      <c r="D115" s="82">
        <f>D108/220*1.5</f>
        <v>10.859113636363636</v>
      </c>
      <c r="E115" s="82">
        <f>C115*D115</f>
        <v>0</v>
      </c>
      <c r="G115" s="2" t="s">
        <v>33</v>
      </c>
    </row>
    <row r="116" spans="1:7" hidden="1" x14ac:dyDescent="0.2">
      <c r="A116" s="79" t="s">
        <v>50</v>
      </c>
      <c r="B116" s="80" t="s">
        <v>46</v>
      </c>
      <c r="C116" s="81"/>
      <c r="D116" s="82"/>
      <c r="E116" s="82"/>
      <c r="G116" s="2" t="s">
        <v>51</v>
      </c>
    </row>
    <row r="117" spans="1:7" hidden="1" x14ac:dyDescent="0.2">
      <c r="A117" s="79"/>
      <c r="B117" s="80" t="s">
        <v>47</v>
      </c>
      <c r="C117" s="82">
        <f>C116*8/7</f>
        <v>0</v>
      </c>
      <c r="D117" s="82">
        <f>D108/220*1.5*1.2</f>
        <v>13.030936363636362</v>
      </c>
      <c r="E117" s="82">
        <f>C117*D117</f>
        <v>0</v>
      </c>
      <c r="G117" s="2" t="s">
        <v>51</v>
      </c>
    </row>
    <row r="118" spans="1:7" ht="13.15" hidden="1" customHeight="1" x14ac:dyDescent="0.2">
      <c r="A118" s="79" t="s">
        <v>34</v>
      </c>
      <c r="B118" s="80" t="s">
        <v>35</v>
      </c>
      <c r="D118" s="82">
        <f>63/302*(SUM(E112:E117))</f>
        <v>0</v>
      </c>
      <c r="E118" s="82">
        <f>D118</f>
        <v>0</v>
      </c>
      <c r="G118" s="2" t="s">
        <v>36</v>
      </c>
    </row>
    <row r="119" spans="1:7" hidden="1" x14ac:dyDescent="0.2">
      <c r="A119" s="79" t="s">
        <v>55</v>
      </c>
      <c r="B119" s="80"/>
      <c r="C119" s="94">
        <v>1</v>
      </c>
      <c r="D119" s="82"/>
      <c r="E119" s="82"/>
    </row>
    <row r="120" spans="1:7" hidden="1" x14ac:dyDescent="0.2">
      <c r="A120" s="79" t="s">
        <v>37</v>
      </c>
      <c r="B120" s="80" t="s">
        <v>12</v>
      </c>
      <c r="C120" s="82">
        <f>+C98</f>
        <v>20</v>
      </c>
      <c r="D120" s="82">
        <f>IF(C119=2,SUM(E108:E118),IF(C119=1,SUM(E108:E118)*D109/D108,0))</f>
        <v>0</v>
      </c>
      <c r="E120" s="82">
        <f>C120*D120/100</f>
        <v>0</v>
      </c>
    </row>
    <row r="121" spans="1:7" s="28" customFormat="1" hidden="1" x14ac:dyDescent="0.2">
      <c r="A121" s="83" t="s">
        <v>38</v>
      </c>
      <c r="B121" s="84"/>
      <c r="C121" s="84"/>
      <c r="D121" s="85"/>
      <c r="E121" s="86">
        <f>SUM(E108:E120)</f>
        <v>0</v>
      </c>
      <c r="F121" s="27"/>
      <c r="G121" s="27"/>
    </row>
    <row r="122" spans="1:7" hidden="1" x14ac:dyDescent="0.2">
      <c r="A122" s="79" t="s">
        <v>39</v>
      </c>
      <c r="B122" s="80" t="s">
        <v>12</v>
      </c>
      <c r="C122" s="87">
        <f>'5.Encargos Sociais'!$C$38*100</f>
        <v>69.95</v>
      </c>
      <c r="D122" s="82">
        <f>E121</f>
        <v>0</v>
      </c>
      <c r="E122" s="82">
        <f>D122*C122/100</f>
        <v>0</v>
      </c>
    </row>
    <row r="123" spans="1:7" s="28" customFormat="1" hidden="1" x14ac:dyDescent="0.2">
      <c r="A123" s="83" t="s">
        <v>56</v>
      </c>
      <c r="B123" s="84"/>
      <c r="C123" s="84"/>
      <c r="D123" s="85"/>
      <c r="E123" s="86">
        <f>E121+E122</f>
        <v>0</v>
      </c>
      <c r="F123" s="27"/>
      <c r="G123" s="27"/>
    </row>
    <row r="124" spans="1:7" hidden="1" x14ac:dyDescent="0.2">
      <c r="A124" s="79" t="s">
        <v>41</v>
      </c>
      <c r="B124" s="80" t="s">
        <v>42</v>
      </c>
      <c r="C124" s="88">
        <v>1</v>
      </c>
      <c r="D124" s="82">
        <f>E123</f>
        <v>0</v>
      </c>
      <c r="E124" s="82">
        <f>C124*D124</f>
        <v>0</v>
      </c>
    </row>
    <row r="125" spans="1:7" hidden="1" x14ac:dyDescent="0.2">
      <c r="A125" s="28"/>
      <c r="D125" s="89" t="s">
        <v>43</v>
      </c>
      <c r="E125" s="90">
        <f>E103</f>
        <v>9.0909090909090912E-2</v>
      </c>
      <c r="F125" s="91">
        <f>E124*E125</f>
        <v>0</v>
      </c>
    </row>
    <row r="126" spans="1:7" ht="11.25" customHeight="1" x14ac:dyDescent="0.2">
      <c r="G126" s="1"/>
    </row>
    <row r="127" spans="1:7" s="1" customFormat="1" x14ac:dyDescent="0.2">
      <c r="A127" s="155" t="s">
        <v>458</v>
      </c>
      <c r="B127" s="99"/>
      <c r="E127" s="100"/>
      <c r="F127" s="2"/>
    </row>
    <row r="128" spans="1:7" s="1" customFormat="1" x14ac:dyDescent="0.2">
      <c r="A128" s="71" t="s">
        <v>22</v>
      </c>
      <c r="B128" s="72" t="s">
        <v>23</v>
      </c>
      <c r="C128" s="72" t="s">
        <v>16</v>
      </c>
      <c r="D128" s="73" t="s">
        <v>24</v>
      </c>
      <c r="E128" s="73" t="s">
        <v>25</v>
      </c>
      <c r="F128" s="74" t="s">
        <v>26</v>
      </c>
    </row>
    <row r="129" spans="1:7" x14ac:dyDescent="0.2">
      <c r="A129" s="79" t="s">
        <v>58</v>
      </c>
      <c r="B129" s="80" t="s">
        <v>35</v>
      </c>
      <c r="C129" s="101">
        <v>1</v>
      </c>
      <c r="D129" s="102">
        <v>3.5</v>
      </c>
      <c r="E129" s="82"/>
      <c r="G129" s="1"/>
    </row>
    <row r="130" spans="1:7" x14ac:dyDescent="0.2">
      <c r="A130" s="79" t="s">
        <v>59</v>
      </c>
      <c r="B130" s="80" t="s">
        <v>60</v>
      </c>
      <c r="C130" s="103">
        <v>2</v>
      </c>
      <c r="D130" s="82"/>
      <c r="E130" s="82"/>
      <c r="G130" s="1"/>
    </row>
    <row r="131" spans="1:7" x14ac:dyDescent="0.2">
      <c r="A131" s="79" t="s">
        <v>61</v>
      </c>
      <c r="B131" s="80" t="s">
        <v>62</v>
      </c>
      <c r="C131" s="104">
        <f>$C$130*2*(C68)</f>
        <v>8</v>
      </c>
      <c r="D131" s="315">
        <f>D129-(E65/42*0.06)</f>
        <v>0.70546000000000042</v>
      </c>
      <c r="E131" s="82">
        <f>IFERROR(C131*D131,"-")</f>
        <v>5.6436800000000034</v>
      </c>
      <c r="G131" s="1"/>
    </row>
    <row r="132" spans="1:7" x14ac:dyDescent="0.2">
      <c r="A132" s="75" t="s">
        <v>331</v>
      </c>
      <c r="B132" s="76" t="s">
        <v>62</v>
      </c>
      <c r="C132" s="104">
        <f>$C$130*2*(C102)</f>
        <v>4</v>
      </c>
      <c r="D132" s="315">
        <f>D129-(E99/42*0.06)</f>
        <v>0.61010000000000009</v>
      </c>
      <c r="E132" s="78">
        <f>IFERROR(C132*D132,"-")</f>
        <v>2.4404000000000003</v>
      </c>
      <c r="G132" s="1"/>
    </row>
    <row r="133" spans="1:7" x14ac:dyDescent="0.2">
      <c r="F133" s="105">
        <f>SUM(E131:E132)</f>
        <v>8.0840800000000037</v>
      </c>
      <c r="G133" s="1"/>
    </row>
    <row r="134" spans="1:7" ht="11.25" hidden="1" customHeight="1" x14ac:dyDescent="0.2">
      <c r="G134" s="1"/>
    </row>
    <row r="135" spans="1:7" x14ac:dyDescent="0.2">
      <c r="A135" s="155" t="s">
        <v>459</v>
      </c>
      <c r="F135" s="27"/>
      <c r="G135" s="1"/>
    </row>
    <row r="136" spans="1:7" s="1" customFormat="1" x14ac:dyDescent="0.2">
      <c r="A136" s="71" t="s">
        <v>22</v>
      </c>
      <c r="B136" s="72" t="s">
        <v>23</v>
      </c>
      <c r="C136" s="72" t="s">
        <v>16</v>
      </c>
      <c r="D136" s="73" t="s">
        <v>24</v>
      </c>
      <c r="E136" s="73" t="s">
        <v>25</v>
      </c>
      <c r="F136" s="74" t="s">
        <v>26</v>
      </c>
    </row>
    <row r="137" spans="1:7" s="1" customFormat="1" x14ac:dyDescent="0.2">
      <c r="A137" s="79" t="str">
        <f>+A131</f>
        <v>Coletor</v>
      </c>
      <c r="B137" s="80" t="s">
        <v>63</v>
      </c>
      <c r="C137" s="104">
        <f>C130*(E44)</f>
        <v>4</v>
      </c>
      <c r="D137" s="318">
        <f>18.2*0.81</f>
        <v>14.742000000000001</v>
      </c>
      <c r="E137" s="107">
        <f>C137*D137</f>
        <v>58.968000000000004</v>
      </c>
      <c r="F137" s="27"/>
    </row>
    <row r="138" spans="1:7" s="1" customFormat="1" x14ac:dyDescent="0.2">
      <c r="A138" s="79" t="str">
        <f>+A132</f>
        <v>Motorista</v>
      </c>
      <c r="B138" s="80" t="s">
        <v>63</v>
      </c>
      <c r="C138" s="104">
        <f>C130*(E46)</f>
        <v>2</v>
      </c>
      <c r="D138" s="318">
        <f>11.98*0.8</f>
        <v>9.5840000000000014</v>
      </c>
      <c r="E138" s="107">
        <f>C138*D138</f>
        <v>19.168000000000003</v>
      </c>
      <c r="F138" s="27"/>
    </row>
    <row r="139" spans="1:7" s="1" customFormat="1" x14ac:dyDescent="0.2">
      <c r="A139" s="79" t="s">
        <v>64</v>
      </c>
      <c r="B139" s="80" t="s">
        <v>63</v>
      </c>
      <c r="C139" s="104">
        <v>2</v>
      </c>
      <c r="D139" s="318">
        <f>18.2*0.81</f>
        <v>14.742000000000001</v>
      </c>
      <c r="E139" s="107">
        <f>C139*D139</f>
        <v>29.484000000000002</v>
      </c>
      <c r="F139" s="27"/>
    </row>
    <row r="140" spans="1:7" x14ac:dyDescent="0.2">
      <c r="F140" s="105">
        <f>SUM(E137:E139)</f>
        <v>107.62</v>
      </c>
      <c r="G140" s="1"/>
    </row>
    <row r="141" spans="1:7" x14ac:dyDescent="0.2">
      <c r="G141" s="1"/>
    </row>
    <row r="142" spans="1:7" x14ac:dyDescent="0.2">
      <c r="A142" s="155" t="s">
        <v>460</v>
      </c>
      <c r="F142" s="27"/>
      <c r="G142" s="1"/>
    </row>
    <row r="143" spans="1:7" s="1" customFormat="1" x14ac:dyDescent="0.2">
      <c r="A143" s="71" t="s">
        <v>22</v>
      </c>
      <c r="B143" s="72" t="s">
        <v>23</v>
      </c>
      <c r="C143" s="72" t="s">
        <v>16</v>
      </c>
      <c r="D143" s="73" t="s">
        <v>24</v>
      </c>
      <c r="E143" s="73" t="s">
        <v>25</v>
      </c>
      <c r="F143" s="74" t="s">
        <v>26</v>
      </c>
    </row>
    <row r="144" spans="1:7" s="1" customFormat="1" hidden="1" x14ac:dyDescent="0.2">
      <c r="A144" s="79" t="str">
        <f>+A137</f>
        <v>Coletor</v>
      </c>
      <c r="B144" s="80" t="s">
        <v>63</v>
      </c>
      <c r="C144" s="104">
        <f>E44+E45</f>
        <v>3</v>
      </c>
      <c r="D144" s="106"/>
      <c r="E144" s="107">
        <f>C144*D144</f>
        <v>0</v>
      </c>
      <c r="F144" s="27"/>
    </row>
    <row r="145" spans="1:7" s="1" customFormat="1" x14ac:dyDescent="0.2">
      <c r="A145" s="79" t="str">
        <f>A138</f>
        <v>Motorista</v>
      </c>
      <c r="B145" s="80" t="s">
        <v>63</v>
      </c>
      <c r="C145" s="104">
        <v>1</v>
      </c>
      <c r="D145" s="318">
        <f>90.93*0.8</f>
        <v>72.744000000000014</v>
      </c>
      <c r="E145" s="107">
        <f>C145*D145</f>
        <v>72.744000000000014</v>
      </c>
      <c r="F145" s="27"/>
    </row>
    <row r="146" spans="1:7" s="1" customFormat="1" x14ac:dyDescent="0.2">
      <c r="D146" s="89" t="s">
        <v>43</v>
      </c>
      <c r="E146" s="90">
        <f>E103</f>
        <v>9.0909090909090912E-2</v>
      </c>
      <c r="F146" s="105">
        <f>SUM(E144:E145)*E146</f>
        <v>6.6130909090909107</v>
      </c>
    </row>
    <row r="147" spans="1:7" x14ac:dyDescent="0.2">
      <c r="D147" s="89"/>
      <c r="E147" s="108"/>
      <c r="G147" s="1"/>
    </row>
    <row r="148" spans="1:7" x14ac:dyDescent="0.2">
      <c r="A148" s="155" t="s">
        <v>461</v>
      </c>
      <c r="F148" s="27"/>
      <c r="G148" s="1"/>
    </row>
    <row r="149" spans="1:7" s="1" customFormat="1" x14ac:dyDescent="0.2">
      <c r="A149" s="71" t="s">
        <v>22</v>
      </c>
      <c r="B149" s="72" t="s">
        <v>23</v>
      </c>
      <c r="C149" s="72" t="s">
        <v>16</v>
      </c>
      <c r="D149" s="73" t="s">
        <v>24</v>
      </c>
      <c r="E149" s="73" t="s">
        <v>25</v>
      </c>
      <c r="F149" s="74" t="s">
        <v>26</v>
      </c>
    </row>
    <row r="150" spans="1:7" s="1" customFormat="1" x14ac:dyDescent="0.2">
      <c r="A150" s="79" t="str">
        <f>A137</f>
        <v>Coletor</v>
      </c>
      <c r="B150" s="80" t="s">
        <v>63</v>
      </c>
      <c r="C150" s="109">
        <f>E44</f>
        <v>2</v>
      </c>
      <c r="D150" s="106">
        <v>15.62</v>
      </c>
      <c r="E150" s="110">
        <f>C150*D150</f>
        <v>31.24</v>
      </c>
      <c r="F150" s="27"/>
    </row>
    <row r="151" spans="1:7" s="1" customFormat="1" hidden="1" x14ac:dyDescent="0.2">
      <c r="A151" s="79"/>
      <c r="B151" s="80" t="s">
        <v>63</v>
      </c>
      <c r="C151" s="109">
        <v>0</v>
      </c>
      <c r="D151" s="111">
        <v>0</v>
      </c>
      <c r="E151" s="110"/>
      <c r="F151" s="27"/>
    </row>
    <row r="152" spans="1:7" s="1" customFormat="1" x14ac:dyDescent="0.2">
      <c r="A152" s="112"/>
      <c r="B152" s="112"/>
      <c r="D152" s="89" t="s">
        <v>65</v>
      </c>
      <c r="E152" s="90">
        <f>B54</f>
        <v>9.0909090909090912E-2</v>
      </c>
      <c r="F152" s="113">
        <f>SUM(E150:E151)*E152</f>
        <v>2.84</v>
      </c>
    </row>
    <row r="153" spans="1:7" x14ac:dyDescent="0.2">
      <c r="D153" s="89"/>
      <c r="E153" s="108"/>
      <c r="G153" s="1"/>
    </row>
    <row r="154" spans="1:7" s="1" customFormat="1" x14ac:dyDescent="0.2">
      <c r="A154" s="114" t="s">
        <v>66</v>
      </c>
      <c r="B154" s="115"/>
      <c r="C154" s="115"/>
      <c r="D154" s="42"/>
      <c r="E154" s="116"/>
      <c r="F154" s="105">
        <f>F146+F140+F133+F125+F103+F88+F69+F152</f>
        <v>1184.2378671948052</v>
      </c>
    </row>
    <row r="156" spans="1:7" x14ac:dyDescent="0.2">
      <c r="A156" s="28" t="s">
        <v>67</v>
      </c>
      <c r="G156" s="1"/>
    </row>
    <row r="157" spans="1:7" ht="11.25" customHeight="1" x14ac:dyDescent="0.2">
      <c r="G157" s="1"/>
    </row>
    <row r="158" spans="1:7" ht="13.9" customHeight="1" x14ac:dyDescent="0.2">
      <c r="A158" s="1" t="s">
        <v>68</v>
      </c>
      <c r="G158" s="1"/>
    </row>
    <row r="159" spans="1:7" ht="11.25" customHeight="1" x14ac:dyDescent="0.2">
      <c r="G159" s="1"/>
    </row>
    <row r="160" spans="1:7" s="1" customFormat="1" ht="27.75" customHeight="1" x14ac:dyDescent="0.2">
      <c r="A160" s="71" t="s">
        <v>22</v>
      </c>
      <c r="B160" s="72" t="s">
        <v>23</v>
      </c>
      <c r="C160" s="117" t="s">
        <v>69</v>
      </c>
      <c r="D160" s="73" t="s">
        <v>24</v>
      </c>
      <c r="E160" s="73" t="s">
        <v>25</v>
      </c>
      <c r="F160" s="74" t="s">
        <v>26</v>
      </c>
    </row>
    <row r="161" spans="1:1025" x14ac:dyDescent="0.2">
      <c r="A161" s="75" t="s">
        <v>70</v>
      </c>
      <c r="B161" s="76" t="s">
        <v>63</v>
      </c>
      <c r="C161" s="319">
        <v>12</v>
      </c>
      <c r="D161" s="316">
        <v>110</v>
      </c>
      <c r="E161" s="78">
        <f t="shared" ref="E161:E171" si="1">IFERROR(D161/C161,0)</f>
        <v>9.1666666666666661</v>
      </c>
      <c r="G161" s="1"/>
    </row>
    <row r="162" spans="1:1025" ht="13.15" customHeight="1" x14ac:dyDescent="0.2">
      <c r="A162" s="79" t="s">
        <v>71</v>
      </c>
      <c r="B162" s="80" t="s">
        <v>63</v>
      </c>
      <c r="C162" s="319">
        <v>4</v>
      </c>
      <c r="D162" s="320">
        <v>35</v>
      </c>
      <c r="E162" s="78">
        <f t="shared" si="1"/>
        <v>8.75</v>
      </c>
      <c r="G162" s="1"/>
    </row>
    <row r="163" spans="1:1025" x14ac:dyDescent="0.2">
      <c r="A163" s="79" t="s">
        <v>72</v>
      </c>
      <c r="B163" s="80" t="s">
        <v>63</v>
      </c>
      <c r="C163" s="319">
        <v>2</v>
      </c>
      <c r="D163" s="320">
        <v>28</v>
      </c>
      <c r="E163" s="78">
        <f t="shared" si="1"/>
        <v>14</v>
      </c>
      <c r="G163" s="1"/>
    </row>
    <row r="164" spans="1:1025" ht="13.15" customHeight="1" x14ac:dyDescent="0.2">
      <c r="A164" s="79" t="s">
        <v>73</v>
      </c>
      <c r="B164" s="80" t="s">
        <v>63</v>
      </c>
      <c r="C164" s="319">
        <v>4</v>
      </c>
      <c r="D164" s="320">
        <v>18</v>
      </c>
      <c r="E164" s="78">
        <f t="shared" si="1"/>
        <v>4.5</v>
      </c>
      <c r="G164" s="1"/>
    </row>
    <row r="165" spans="1:1025" ht="13.9" customHeight="1" x14ac:dyDescent="0.2">
      <c r="A165" s="79" t="s">
        <v>74</v>
      </c>
      <c r="B165" s="80" t="s">
        <v>75</v>
      </c>
      <c r="C165" s="319">
        <v>4</v>
      </c>
      <c r="D165" s="320">
        <v>60</v>
      </c>
      <c r="E165" s="78">
        <f t="shared" si="1"/>
        <v>15</v>
      </c>
      <c r="G165" s="1"/>
    </row>
    <row r="166" spans="1:1025" ht="13.15" customHeight="1" x14ac:dyDescent="0.2">
      <c r="A166" s="79" t="s">
        <v>76</v>
      </c>
      <c r="B166" s="80" t="s">
        <v>75</v>
      </c>
      <c r="C166" s="319">
        <v>2</v>
      </c>
      <c r="D166" s="320">
        <v>10</v>
      </c>
      <c r="E166" s="78">
        <f t="shared" si="1"/>
        <v>5</v>
      </c>
    </row>
    <row r="167" spans="1:1025" x14ac:dyDescent="0.2">
      <c r="A167" s="79" t="s">
        <v>77</v>
      </c>
      <c r="B167" s="80" t="s">
        <v>63</v>
      </c>
      <c r="C167" s="319">
        <v>6</v>
      </c>
      <c r="D167" s="320">
        <v>67</v>
      </c>
      <c r="E167" s="78">
        <f t="shared" si="1"/>
        <v>11.166666666666666</v>
      </c>
    </row>
    <row r="168" spans="1:1025" s="123" customFormat="1" x14ac:dyDescent="0.2">
      <c r="A168" s="120" t="s">
        <v>78</v>
      </c>
      <c r="B168" s="121" t="s">
        <v>63</v>
      </c>
      <c r="C168" s="319">
        <v>4</v>
      </c>
      <c r="D168" s="320">
        <v>20</v>
      </c>
      <c r="E168" s="78">
        <f t="shared" si="1"/>
        <v>5</v>
      </c>
      <c r="F168" s="122"/>
      <c r="G168" s="122"/>
    </row>
    <row r="169" spans="1:1025" x14ac:dyDescent="0.2">
      <c r="A169" s="79" t="s">
        <v>79</v>
      </c>
      <c r="B169" s="80" t="s">
        <v>75</v>
      </c>
      <c r="C169" s="319">
        <v>0.5</v>
      </c>
      <c r="D169" s="320">
        <v>15</v>
      </c>
      <c r="E169" s="78">
        <f t="shared" si="1"/>
        <v>30</v>
      </c>
    </row>
    <row r="170" spans="1:1025" x14ac:dyDescent="0.2">
      <c r="A170" s="375" t="s">
        <v>383</v>
      </c>
      <c r="B170" s="376" t="s">
        <v>63</v>
      </c>
      <c r="C170" s="319">
        <v>0.04</v>
      </c>
      <c r="D170" s="320">
        <v>1</v>
      </c>
      <c r="E170" s="315">
        <f t="shared" si="1"/>
        <v>25</v>
      </c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5"/>
      <c r="AZ170" s="155"/>
      <c r="BA170" s="155"/>
      <c r="BB170" s="155"/>
      <c r="BC170" s="155"/>
      <c r="BD170" s="155"/>
      <c r="BE170" s="155"/>
      <c r="BF170" s="155"/>
      <c r="BG170" s="155"/>
      <c r="BH170" s="155"/>
      <c r="BI170" s="155"/>
      <c r="BJ170" s="155"/>
      <c r="BK170" s="155"/>
      <c r="BL170" s="155"/>
      <c r="BM170" s="155"/>
      <c r="BN170" s="155"/>
      <c r="BO170" s="155"/>
      <c r="BP170" s="155"/>
      <c r="BQ170" s="155"/>
      <c r="BR170" s="155"/>
      <c r="BS170" s="155"/>
      <c r="BT170" s="155"/>
      <c r="BU170" s="155"/>
      <c r="BV170" s="155"/>
      <c r="BW170" s="155"/>
      <c r="BX170" s="155"/>
      <c r="BY170" s="155"/>
      <c r="BZ170" s="155"/>
      <c r="CA170" s="155"/>
      <c r="CB170" s="155"/>
      <c r="CC170" s="155"/>
      <c r="CD170" s="155"/>
      <c r="CE170" s="155"/>
      <c r="CF170" s="155"/>
      <c r="CG170" s="155"/>
      <c r="CH170" s="155"/>
      <c r="CI170" s="155"/>
      <c r="CJ170" s="155"/>
      <c r="CK170" s="155"/>
      <c r="CL170" s="155"/>
      <c r="CM170" s="155"/>
      <c r="CN170" s="155"/>
      <c r="CO170" s="155"/>
      <c r="CP170" s="155"/>
      <c r="CQ170" s="155"/>
      <c r="CR170" s="155"/>
      <c r="CS170" s="155"/>
      <c r="CT170" s="155"/>
      <c r="CU170" s="155"/>
      <c r="CV170" s="155"/>
      <c r="CW170" s="155"/>
      <c r="CX170" s="155"/>
      <c r="CY170" s="155"/>
      <c r="CZ170" s="155"/>
      <c r="DA170" s="155"/>
      <c r="DB170" s="155"/>
      <c r="DC170" s="155"/>
      <c r="DD170" s="155"/>
      <c r="DE170" s="155"/>
      <c r="DF170" s="155"/>
      <c r="DG170" s="155"/>
      <c r="DH170" s="155"/>
      <c r="DI170" s="155"/>
      <c r="DJ170" s="155"/>
      <c r="DK170" s="155"/>
      <c r="DL170" s="155"/>
      <c r="DM170" s="155"/>
      <c r="DN170" s="155"/>
      <c r="DO170" s="155"/>
      <c r="DP170" s="155"/>
      <c r="DQ170" s="155"/>
      <c r="DR170" s="155"/>
      <c r="DS170" s="155"/>
      <c r="DT170" s="155"/>
      <c r="DU170" s="155"/>
      <c r="DV170" s="155"/>
      <c r="DW170" s="155"/>
      <c r="DX170" s="155"/>
      <c r="DY170" s="155"/>
      <c r="DZ170" s="155"/>
      <c r="EA170" s="155"/>
      <c r="EB170" s="155"/>
      <c r="EC170" s="155"/>
      <c r="ED170" s="155"/>
      <c r="EE170" s="155"/>
      <c r="EF170" s="155"/>
      <c r="EG170" s="155"/>
      <c r="EH170" s="155"/>
      <c r="EI170" s="155"/>
      <c r="EJ170" s="155"/>
      <c r="EK170" s="155"/>
      <c r="EL170" s="155"/>
      <c r="EM170" s="155"/>
      <c r="EN170" s="155"/>
      <c r="EO170" s="155"/>
      <c r="EP170" s="155"/>
      <c r="EQ170" s="155"/>
      <c r="ER170" s="155"/>
      <c r="ES170" s="155"/>
      <c r="ET170" s="155"/>
      <c r="EU170" s="155"/>
      <c r="EV170" s="155"/>
      <c r="EW170" s="155"/>
      <c r="EX170" s="155"/>
      <c r="EY170" s="155"/>
      <c r="EZ170" s="155"/>
      <c r="FA170" s="155"/>
      <c r="FB170" s="155"/>
      <c r="FC170" s="155"/>
      <c r="FD170" s="155"/>
      <c r="FE170" s="155"/>
      <c r="FF170" s="155"/>
      <c r="FG170" s="155"/>
      <c r="FH170" s="155"/>
      <c r="FI170" s="155"/>
      <c r="FJ170" s="155"/>
      <c r="FK170" s="155"/>
      <c r="FL170" s="155"/>
      <c r="FM170" s="155"/>
      <c r="FN170" s="155"/>
      <c r="FO170" s="155"/>
      <c r="FP170" s="155"/>
      <c r="FQ170" s="155"/>
      <c r="FR170" s="155"/>
      <c r="FS170" s="155"/>
      <c r="FT170" s="155"/>
      <c r="FU170" s="155"/>
      <c r="FV170" s="155"/>
      <c r="FW170" s="155"/>
      <c r="FX170" s="155"/>
      <c r="FY170" s="155"/>
      <c r="FZ170" s="155"/>
      <c r="GA170" s="155"/>
      <c r="GB170" s="155"/>
      <c r="GC170" s="155"/>
      <c r="GD170" s="155"/>
      <c r="GE170" s="155"/>
      <c r="GF170" s="155"/>
      <c r="GG170" s="155"/>
      <c r="GH170" s="155"/>
      <c r="GI170" s="155"/>
      <c r="GJ170" s="155"/>
      <c r="GK170" s="155"/>
      <c r="GL170" s="155"/>
      <c r="GM170" s="155"/>
      <c r="GN170" s="155"/>
      <c r="GO170" s="155"/>
      <c r="GP170" s="155"/>
      <c r="GQ170" s="155"/>
      <c r="GR170" s="155"/>
      <c r="GS170" s="155"/>
      <c r="GT170" s="155"/>
      <c r="GU170" s="155"/>
      <c r="GV170" s="155"/>
      <c r="GW170" s="155"/>
      <c r="GX170" s="155"/>
      <c r="GY170" s="155"/>
      <c r="GZ170" s="155"/>
      <c r="HA170" s="155"/>
      <c r="HB170" s="155"/>
      <c r="HC170" s="155"/>
      <c r="HD170" s="155"/>
      <c r="HE170" s="155"/>
      <c r="HF170" s="155"/>
      <c r="HG170" s="155"/>
      <c r="HH170" s="155"/>
      <c r="HI170" s="155"/>
      <c r="HJ170" s="155"/>
      <c r="HK170" s="155"/>
      <c r="HL170" s="155"/>
      <c r="HM170" s="155"/>
      <c r="HN170" s="155"/>
      <c r="HO170" s="155"/>
      <c r="HP170" s="155"/>
      <c r="HQ170" s="155"/>
      <c r="HR170" s="155"/>
      <c r="HS170" s="155"/>
      <c r="HT170" s="155"/>
      <c r="HU170" s="155"/>
      <c r="HV170" s="155"/>
      <c r="HW170" s="155"/>
      <c r="HX170" s="155"/>
      <c r="HY170" s="155"/>
      <c r="HZ170" s="155"/>
      <c r="IA170" s="155"/>
      <c r="IB170" s="155"/>
      <c r="IC170" s="155"/>
      <c r="ID170" s="155"/>
      <c r="IE170" s="155"/>
      <c r="IF170" s="155"/>
      <c r="IG170" s="155"/>
      <c r="IH170" s="155"/>
      <c r="II170" s="155"/>
      <c r="IJ170" s="155"/>
      <c r="IK170" s="155"/>
      <c r="IL170" s="155"/>
      <c r="IM170" s="155"/>
      <c r="IN170" s="155"/>
      <c r="IO170" s="155"/>
      <c r="IP170" s="155"/>
      <c r="IQ170" s="155"/>
      <c r="IR170" s="155"/>
      <c r="IS170" s="155"/>
      <c r="IT170" s="155"/>
      <c r="IU170" s="155"/>
      <c r="IV170" s="155"/>
      <c r="IW170" s="155"/>
      <c r="IX170" s="155"/>
      <c r="IY170" s="155"/>
      <c r="IZ170" s="155"/>
      <c r="JA170" s="155"/>
      <c r="JB170" s="155"/>
      <c r="JC170" s="155"/>
      <c r="JD170" s="155"/>
      <c r="JE170" s="155"/>
      <c r="JF170" s="155"/>
      <c r="JG170" s="155"/>
      <c r="JH170" s="155"/>
      <c r="JI170" s="155"/>
      <c r="JJ170" s="155"/>
      <c r="JK170" s="155"/>
      <c r="JL170" s="155"/>
      <c r="JM170" s="155"/>
      <c r="JN170" s="155"/>
      <c r="JO170" s="155"/>
      <c r="JP170" s="155"/>
      <c r="JQ170" s="155"/>
      <c r="JR170" s="155"/>
      <c r="JS170" s="155"/>
      <c r="JT170" s="155"/>
      <c r="JU170" s="155"/>
      <c r="JV170" s="155"/>
      <c r="JW170" s="155"/>
      <c r="JX170" s="155"/>
      <c r="JY170" s="155"/>
      <c r="JZ170" s="155"/>
      <c r="KA170" s="155"/>
      <c r="KB170" s="155"/>
      <c r="KC170" s="155"/>
      <c r="KD170" s="155"/>
      <c r="KE170" s="155"/>
      <c r="KF170" s="155"/>
      <c r="KG170" s="155"/>
      <c r="KH170" s="155"/>
      <c r="KI170" s="155"/>
      <c r="KJ170" s="155"/>
      <c r="KK170" s="155"/>
      <c r="KL170" s="155"/>
      <c r="KM170" s="155"/>
      <c r="KN170" s="155"/>
      <c r="KO170" s="155"/>
      <c r="KP170" s="155"/>
      <c r="KQ170" s="155"/>
      <c r="KR170" s="155"/>
      <c r="KS170" s="155"/>
      <c r="KT170" s="155"/>
      <c r="KU170" s="155"/>
      <c r="KV170" s="155"/>
      <c r="KW170" s="155"/>
      <c r="KX170" s="155"/>
      <c r="KY170" s="155"/>
      <c r="KZ170" s="155"/>
      <c r="LA170" s="155"/>
      <c r="LB170" s="155"/>
      <c r="LC170" s="155"/>
      <c r="LD170" s="155"/>
      <c r="LE170" s="155"/>
      <c r="LF170" s="155"/>
      <c r="LG170" s="155"/>
      <c r="LH170" s="155"/>
      <c r="LI170" s="155"/>
      <c r="LJ170" s="155"/>
      <c r="LK170" s="155"/>
      <c r="LL170" s="155"/>
      <c r="LM170" s="155"/>
      <c r="LN170" s="155"/>
      <c r="LO170" s="155"/>
      <c r="LP170" s="155"/>
      <c r="LQ170" s="155"/>
      <c r="LR170" s="155"/>
      <c r="LS170" s="155"/>
      <c r="LT170" s="155"/>
      <c r="LU170" s="155"/>
      <c r="LV170" s="155"/>
      <c r="LW170" s="155"/>
      <c r="LX170" s="155"/>
      <c r="LY170" s="155"/>
      <c r="LZ170" s="155"/>
      <c r="MA170" s="155"/>
      <c r="MB170" s="155"/>
      <c r="MC170" s="155"/>
      <c r="MD170" s="155"/>
      <c r="ME170" s="155"/>
      <c r="MF170" s="155"/>
      <c r="MG170" s="155"/>
      <c r="MH170" s="155"/>
      <c r="MI170" s="155"/>
      <c r="MJ170" s="155"/>
      <c r="MK170" s="155"/>
      <c r="ML170" s="155"/>
      <c r="MM170" s="155"/>
      <c r="MN170" s="155"/>
      <c r="MO170" s="155"/>
      <c r="MP170" s="155"/>
      <c r="MQ170" s="155"/>
      <c r="MR170" s="155"/>
      <c r="MS170" s="155"/>
      <c r="MT170" s="155"/>
      <c r="MU170" s="155"/>
      <c r="MV170" s="155"/>
      <c r="MW170" s="155"/>
      <c r="MX170" s="155"/>
      <c r="MY170" s="155"/>
      <c r="MZ170" s="155"/>
      <c r="NA170" s="155"/>
      <c r="NB170" s="155"/>
      <c r="NC170" s="155"/>
      <c r="ND170" s="155"/>
      <c r="NE170" s="155"/>
      <c r="NF170" s="155"/>
      <c r="NG170" s="155"/>
      <c r="NH170" s="155"/>
      <c r="NI170" s="155"/>
      <c r="NJ170" s="155"/>
      <c r="NK170" s="155"/>
      <c r="NL170" s="155"/>
      <c r="NM170" s="155"/>
      <c r="NN170" s="155"/>
      <c r="NO170" s="155"/>
      <c r="NP170" s="155"/>
      <c r="NQ170" s="155"/>
      <c r="NR170" s="155"/>
      <c r="NS170" s="155"/>
      <c r="NT170" s="155"/>
      <c r="NU170" s="155"/>
      <c r="NV170" s="155"/>
      <c r="NW170" s="155"/>
      <c r="NX170" s="155"/>
      <c r="NY170" s="155"/>
      <c r="NZ170" s="155"/>
      <c r="OA170" s="155"/>
      <c r="OB170" s="155"/>
      <c r="OC170" s="155"/>
      <c r="OD170" s="155"/>
      <c r="OE170" s="155"/>
      <c r="OF170" s="155"/>
      <c r="OG170" s="155"/>
      <c r="OH170" s="155"/>
      <c r="OI170" s="155"/>
      <c r="OJ170" s="155"/>
      <c r="OK170" s="155"/>
      <c r="OL170" s="155"/>
      <c r="OM170" s="155"/>
      <c r="ON170" s="155"/>
      <c r="OO170" s="155"/>
      <c r="OP170" s="155"/>
      <c r="OQ170" s="155"/>
      <c r="OR170" s="155"/>
      <c r="OS170" s="155"/>
      <c r="OT170" s="155"/>
      <c r="OU170" s="155"/>
      <c r="OV170" s="155"/>
      <c r="OW170" s="155"/>
      <c r="OX170" s="155"/>
      <c r="OY170" s="155"/>
      <c r="OZ170" s="155"/>
      <c r="PA170" s="155"/>
      <c r="PB170" s="155"/>
      <c r="PC170" s="155"/>
      <c r="PD170" s="155"/>
      <c r="PE170" s="155"/>
      <c r="PF170" s="155"/>
      <c r="PG170" s="155"/>
      <c r="PH170" s="155"/>
      <c r="PI170" s="155"/>
      <c r="PJ170" s="155"/>
      <c r="PK170" s="155"/>
      <c r="PL170" s="155"/>
      <c r="PM170" s="155"/>
      <c r="PN170" s="155"/>
      <c r="PO170" s="155"/>
      <c r="PP170" s="155"/>
      <c r="PQ170" s="155"/>
      <c r="PR170" s="155"/>
      <c r="PS170" s="155"/>
      <c r="PT170" s="155"/>
      <c r="PU170" s="155"/>
      <c r="PV170" s="155"/>
      <c r="PW170" s="155"/>
      <c r="PX170" s="155"/>
      <c r="PY170" s="155"/>
      <c r="PZ170" s="155"/>
      <c r="QA170" s="155"/>
      <c r="QB170" s="155"/>
      <c r="QC170" s="155"/>
      <c r="QD170" s="155"/>
      <c r="QE170" s="155"/>
      <c r="QF170" s="155"/>
      <c r="QG170" s="155"/>
      <c r="QH170" s="155"/>
      <c r="QI170" s="155"/>
      <c r="QJ170" s="155"/>
      <c r="QK170" s="155"/>
      <c r="QL170" s="155"/>
      <c r="QM170" s="155"/>
      <c r="QN170" s="155"/>
      <c r="QO170" s="155"/>
      <c r="QP170" s="155"/>
      <c r="QQ170" s="155"/>
      <c r="QR170" s="155"/>
      <c r="QS170" s="155"/>
      <c r="QT170" s="155"/>
      <c r="QU170" s="155"/>
      <c r="QV170" s="155"/>
      <c r="QW170" s="155"/>
      <c r="QX170" s="155"/>
      <c r="QY170" s="155"/>
      <c r="QZ170" s="155"/>
      <c r="RA170" s="155"/>
      <c r="RB170" s="155"/>
      <c r="RC170" s="155"/>
      <c r="RD170" s="155"/>
      <c r="RE170" s="155"/>
      <c r="RF170" s="155"/>
      <c r="RG170" s="155"/>
      <c r="RH170" s="155"/>
      <c r="RI170" s="155"/>
      <c r="RJ170" s="155"/>
      <c r="RK170" s="155"/>
      <c r="RL170" s="155"/>
      <c r="RM170" s="155"/>
      <c r="RN170" s="155"/>
      <c r="RO170" s="155"/>
      <c r="RP170" s="155"/>
      <c r="RQ170" s="155"/>
      <c r="RR170" s="155"/>
      <c r="RS170" s="155"/>
      <c r="RT170" s="155"/>
      <c r="RU170" s="155"/>
      <c r="RV170" s="155"/>
      <c r="RW170" s="155"/>
      <c r="RX170" s="155"/>
      <c r="RY170" s="155"/>
      <c r="RZ170" s="155"/>
      <c r="SA170" s="155"/>
      <c r="SB170" s="155"/>
      <c r="SC170" s="155"/>
      <c r="SD170" s="155"/>
      <c r="SE170" s="155"/>
      <c r="SF170" s="155"/>
      <c r="SG170" s="155"/>
      <c r="SH170" s="155"/>
      <c r="SI170" s="155"/>
      <c r="SJ170" s="155"/>
      <c r="SK170" s="155"/>
      <c r="SL170" s="155"/>
      <c r="SM170" s="155"/>
      <c r="SN170" s="155"/>
      <c r="SO170" s="155"/>
      <c r="SP170" s="155"/>
      <c r="SQ170" s="155"/>
      <c r="SR170" s="155"/>
      <c r="SS170" s="155"/>
      <c r="ST170" s="155"/>
      <c r="SU170" s="155"/>
      <c r="SV170" s="155"/>
      <c r="SW170" s="155"/>
      <c r="SX170" s="155"/>
      <c r="SY170" s="155"/>
      <c r="SZ170" s="155"/>
      <c r="TA170" s="155"/>
      <c r="TB170" s="155"/>
      <c r="TC170" s="155"/>
      <c r="TD170" s="155"/>
      <c r="TE170" s="155"/>
      <c r="TF170" s="155"/>
      <c r="TG170" s="155"/>
      <c r="TH170" s="155"/>
      <c r="TI170" s="155"/>
      <c r="TJ170" s="155"/>
      <c r="TK170" s="155"/>
      <c r="TL170" s="155"/>
      <c r="TM170" s="155"/>
      <c r="TN170" s="155"/>
      <c r="TO170" s="155"/>
      <c r="TP170" s="155"/>
      <c r="TQ170" s="155"/>
      <c r="TR170" s="155"/>
      <c r="TS170" s="155"/>
      <c r="TT170" s="155"/>
      <c r="TU170" s="155"/>
      <c r="TV170" s="155"/>
      <c r="TW170" s="155"/>
      <c r="TX170" s="155"/>
      <c r="TY170" s="155"/>
      <c r="TZ170" s="155"/>
      <c r="UA170" s="155"/>
      <c r="UB170" s="155"/>
      <c r="UC170" s="155"/>
      <c r="UD170" s="155"/>
      <c r="UE170" s="155"/>
      <c r="UF170" s="155"/>
      <c r="UG170" s="155"/>
      <c r="UH170" s="155"/>
      <c r="UI170" s="155"/>
      <c r="UJ170" s="155"/>
      <c r="UK170" s="155"/>
      <c r="UL170" s="155"/>
      <c r="UM170" s="155"/>
      <c r="UN170" s="155"/>
      <c r="UO170" s="155"/>
      <c r="UP170" s="155"/>
      <c r="UQ170" s="155"/>
      <c r="UR170" s="155"/>
      <c r="US170" s="155"/>
      <c r="UT170" s="155"/>
      <c r="UU170" s="155"/>
      <c r="UV170" s="155"/>
      <c r="UW170" s="155"/>
      <c r="UX170" s="155"/>
      <c r="UY170" s="155"/>
      <c r="UZ170" s="155"/>
      <c r="VA170" s="155"/>
      <c r="VB170" s="155"/>
      <c r="VC170" s="155"/>
      <c r="VD170" s="155"/>
      <c r="VE170" s="155"/>
      <c r="VF170" s="155"/>
      <c r="VG170" s="155"/>
      <c r="VH170" s="155"/>
      <c r="VI170" s="155"/>
      <c r="VJ170" s="155"/>
      <c r="VK170" s="155"/>
      <c r="VL170" s="155"/>
      <c r="VM170" s="155"/>
      <c r="VN170" s="155"/>
      <c r="VO170" s="155"/>
      <c r="VP170" s="155"/>
      <c r="VQ170" s="155"/>
      <c r="VR170" s="155"/>
      <c r="VS170" s="155"/>
      <c r="VT170" s="155"/>
      <c r="VU170" s="155"/>
      <c r="VV170" s="155"/>
      <c r="VW170" s="155"/>
      <c r="VX170" s="155"/>
      <c r="VY170" s="155"/>
      <c r="VZ170" s="155"/>
      <c r="WA170" s="155"/>
      <c r="WB170" s="155"/>
      <c r="WC170" s="155"/>
      <c r="WD170" s="155"/>
      <c r="WE170" s="155"/>
      <c r="WF170" s="155"/>
      <c r="WG170" s="155"/>
      <c r="WH170" s="155"/>
      <c r="WI170" s="155"/>
      <c r="WJ170" s="155"/>
      <c r="WK170" s="155"/>
      <c r="WL170" s="155"/>
      <c r="WM170" s="155"/>
      <c r="WN170" s="155"/>
      <c r="WO170" s="155"/>
      <c r="WP170" s="155"/>
      <c r="WQ170" s="155"/>
      <c r="WR170" s="155"/>
      <c r="WS170" s="155"/>
      <c r="WT170" s="155"/>
      <c r="WU170" s="155"/>
      <c r="WV170" s="155"/>
      <c r="WW170" s="155"/>
      <c r="WX170" s="155"/>
      <c r="WY170" s="155"/>
      <c r="WZ170" s="155"/>
      <c r="XA170" s="155"/>
      <c r="XB170" s="155"/>
      <c r="XC170" s="155"/>
      <c r="XD170" s="155"/>
      <c r="XE170" s="155"/>
      <c r="XF170" s="155"/>
      <c r="XG170" s="155"/>
      <c r="XH170" s="155"/>
      <c r="XI170" s="155"/>
      <c r="XJ170" s="155"/>
      <c r="XK170" s="155"/>
      <c r="XL170" s="155"/>
      <c r="XM170" s="155"/>
      <c r="XN170" s="155"/>
      <c r="XO170" s="155"/>
      <c r="XP170" s="155"/>
      <c r="XQ170" s="155"/>
      <c r="XR170" s="155"/>
      <c r="XS170" s="155"/>
      <c r="XT170" s="155"/>
      <c r="XU170" s="155"/>
      <c r="XV170" s="155"/>
      <c r="XW170" s="155"/>
      <c r="XX170" s="155"/>
      <c r="XY170" s="155"/>
      <c r="XZ170" s="155"/>
      <c r="YA170" s="155"/>
      <c r="YB170" s="155"/>
      <c r="YC170" s="155"/>
      <c r="YD170" s="155"/>
      <c r="YE170" s="155"/>
      <c r="YF170" s="155"/>
      <c r="YG170" s="155"/>
      <c r="YH170" s="155"/>
      <c r="YI170" s="155"/>
      <c r="YJ170" s="155"/>
      <c r="YK170" s="155"/>
      <c r="YL170" s="155"/>
      <c r="YM170" s="155"/>
      <c r="YN170" s="155"/>
      <c r="YO170" s="155"/>
      <c r="YP170" s="155"/>
      <c r="YQ170" s="155"/>
      <c r="YR170" s="155"/>
      <c r="YS170" s="155"/>
      <c r="YT170" s="155"/>
      <c r="YU170" s="155"/>
      <c r="YV170" s="155"/>
      <c r="YW170" s="155"/>
      <c r="YX170" s="155"/>
      <c r="YY170" s="155"/>
      <c r="YZ170" s="155"/>
      <c r="ZA170" s="155"/>
      <c r="ZB170" s="155"/>
      <c r="ZC170" s="155"/>
      <c r="ZD170" s="155"/>
      <c r="ZE170" s="155"/>
      <c r="ZF170" s="155"/>
      <c r="ZG170" s="155"/>
      <c r="ZH170" s="155"/>
      <c r="ZI170" s="155"/>
      <c r="ZJ170" s="155"/>
      <c r="ZK170" s="155"/>
      <c r="ZL170" s="155"/>
      <c r="ZM170" s="155"/>
      <c r="ZN170" s="155"/>
      <c r="ZO170" s="155"/>
      <c r="ZP170" s="155"/>
      <c r="ZQ170" s="155"/>
      <c r="ZR170" s="155"/>
      <c r="ZS170" s="155"/>
      <c r="ZT170" s="155"/>
      <c r="ZU170" s="155"/>
      <c r="ZV170" s="155"/>
      <c r="ZW170" s="155"/>
      <c r="ZX170" s="155"/>
      <c r="ZY170" s="155"/>
      <c r="ZZ170" s="155"/>
      <c r="AAA170" s="155"/>
      <c r="AAB170" s="155"/>
      <c r="AAC170" s="155"/>
      <c r="AAD170" s="155"/>
      <c r="AAE170" s="155"/>
      <c r="AAF170" s="155"/>
      <c r="AAG170" s="155"/>
      <c r="AAH170" s="155"/>
      <c r="AAI170" s="155"/>
      <c r="AAJ170" s="155"/>
      <c r="AAK170" s="155"/>
      <c r="AAL170" s="155"/>
      <c r="AAM170" s="155"/>
      <c r="AAN170" s="155"/>
      <c r="AAO170" s="155"/>
      <c r="AAP170" s="155"/>
      <c r="AAQ170" s="155"/>
      <c r="AAR170" s="155"/>
      <c r="AAS170" s="155"/>
      <c r="AAT170" s="155"/>
      <c r="AAU170" s="155"/>
      <c r="AAV170" s="155"/>
      <c r="AAW170" s="155"/>
      <c r="AAX170" s="155"/>
      <c r="AAY170" s="155"/>
      <c r="AAZ170" s="155"/>
      <c r="ABA170" s="155"/>
      <c r="ABB170" s="155"/>
      <c r="ABC170" s="155"/>
      <c r="ABD170" s="155"/>
      <c r="ABE170" s="155"/>
      <c r="ABF170" s="155"/>
      <c r="ABG170" s="155"/>
      <c r="ABH170" s="155"/>
      <c r="ABI170" s="155"/>
      <c r="ABJ170" s="155"/>
      <c r="ABK170" s="155"/>
      <c r="ABL170" s="155"/>
      <c r="ABM170" s="155"/>
      <c r="ABN170" s="155"/>
      <c r="ABO170" s="155"/>
      <c r="ABP170" s="155"/>
      <c r="ABQ170" s="155"/>
      <c r="ABR170" s="155"/>
      <c r="ABS170" s="155"/>
      <c r="ABT170" s="155"/>
      <c r="ABU170" s="155"/>
      <c r="ABV170" s="155"/>
      <c r="ABW170" s="155"/>
      <c r="ABX170" s="155"/>
      <c r="ABY170" s="155"/>
      <c r="ABZ170" s="155"/>
      <c r="ACA170" s="155"/>
      <c r="ACB170" s="155"/>
      <c r="ACC170" s="155"/>
      <c r="ACD170" s="155"/>
      <c r="ACE170" s="155"/>
      <c r="ACF170" s="155"/>
      <c r="ACG170" s="155"/>
      <c r="ACH170" s="155"/>
      <c r="ACI170" s="155"/>
      <c r="ACJ170" s="155"/>
      <c r="ACK170" s="155"/>
      <c r="ACL170" s="155"/>
      <c r="ACM170" s="155"/>
      <c r="ACN170" s="155"/>
      <c r="ACO170" s="155"/>
      <c r="ACP170" s="155"/>
      <c r="ACQ170" s="155"/>
      <c r="ACR170" s="155"/>
      <c r="ACS170" s="155"/>
      <c r="ACT170" s="155"/>
      <c r="ACU170" s="155"/>
      <c r="ACV170" s="155"/>
      <c r="ACW170" s="155"/>
      <c r="ACX170" s="155"/>
      <c r="ACY170" s="155"/>
      <c r="ACZ170" s="155"/>
      <c r="ADA170" s="155"/>
      <c r="ADB170" s="155"/>
      <c r="ADC170" s="155"/>
      <c r="ADD170" s="155"/>
      <c r="ADE170" s="155"/>
      <c r="ADF170" s="155"/>
      <c r="ADG170" s="155"/>
      <c r="ADH170" s="155"/>
      <c r="ADI170" s="155"/>
      <c r="ADJ170" s="155"/>
      <c r="ADK170" s="155"/>
      <c r="ADL170" s="155"/>
      <c r="ADM170" s="155"/>
      <c r="ADN170" s="155"/>
      <c r="ADO170" s="155"/>
      <c r="ADP170" s="155"/>
      <c r="ADQ170" s="155"/>
      <c r="ADR170" s="155"/>
      <c r="ADS170" s="155"/>
      <c r="ADT170" s="155"/>
      <c r="ADU170" s="155"/>
      <c r="ADV170" s="155"/>
      <c r="ADW170" s="155"/>
      <c r="ADX170" s="155"/>
      <c r="ADY170" s="155"/>
      <c r="ADZ170" s="155"/>
      <c r="AEA170" s="155"/>
      <c r="AEB170" s="155"/>
      <c r="AEC170" s="155"/>
      <c r="AED170" s="155"/>
      <c r="AEE170" s="155"/>
      <c r="AEF170" s="155"/>
      <c r="AEG170" s="155"/>
      <c r="AEH170" s="155"/>
      <c r="AEI170" s="155"/>
      <c r="AEJ170" s="155"/>
      <c r="AEK170" s="155"/>
      <c r="AEL170" s="155"/>
      <c r="AEM170" s="155"/>
      <c r="AEN170" s="155"/>
      <c r="AEO170" s="155"/>
      <c r="AEP170" s="155"/>
      <c r="AEQ170" s="155"/>
      <c r="AER170" s="155"/>
      <c r="AES170" s="155"/>
      <c r="AET170" s="155"/>
      <c r="AEU170" s="155"/>
      <c r="AEV170" s="155"/>
      <c r="AEW170" s="155"/>
      <c r="AEX170" s="155"/>
      <c r="AEY170" s="155"/>
      <c r="AEZ170" s="155"/>
      <c r="AFA170" s="155"/>
      <c r="AFB170" s="155"/>
      <c r="AFC170" s="155"/>
      <c r="AFD170" s="155"/>
      <c r="AFE170" s="155"/>
      <c r="AFF170" s="155"/>
      <c r="AFG170" s="155"/>
      <c r="AFH170" s="155"/>
      <c r="AFI170" s="155"/>
      <c r="AFJ170" s="155"/>
      <c r="AFK170" s="155"/>
      <c r="AFL170" s="155"/>
      <c r="AFM170" s="155"/>
      <c r="AFN170" s="155"/>
      <c r="AFO170" s="155"/>
      <c r="AFP170" s="155"/>
      <c r="AFQ170" s="155"/>
      <c r="AFR170" s="155"/>
      <c r="AFS170" s="155"/>
      <c r="AFT170" s="155"/>
      <c r="AFU170" s="155"/>
      <c r="AFV170" s="155"/>
      <c r="AFW170" s="155"/>
      <c r="AFX170" s="155"/>
      <c r="AFY170" s="155"/>
      <c r="AFZ170" s="155"/>
      <c r="AGA170" s="155"/>
      <c r="AGB170" s="155"/>
      <c r="AGC170" s="155"/>
      <c r="AGD170" s="155"/>
      <c r="AGE170" s="155"/>
      <c r="AGF170" s="155"/>
      <c r="AGG170" s="155"/>
      <c r="AGH170" s="155"/>
      <c r="AGI170" s="155"/>
      <c r="AGJ170" s="155"/>
      <c r="AGK170" s="155"/>
      <c r="AGL170" s="155"/>
      <c r="AGM170" s="155"/>
      <c r="AGN170" s="155"/>
      <c r="AGO170" s="155"/>
      <c r="AGP170" s="155"/>
      <c r="AGQ170" s="155"/>
      <c r="AGR170" s="155"/>
      <c r="AGS170" s="155"/>
      <c r="AGT170" s="155"/>
      <c r="AGU170" s="155"/>
      <c r="AGV170" s="155"/>
      <c r="AGW170" s="155"/>
      <c r="AGX170" s="155"/>
      <c r="AGY170" s="155"/>
      <c r="AGZ170" s="155"/>
      <c r="AHA170" s="155"/>
      <c r="AHB170" s="155"/>
      <c r="AHC170" s="155"/>
      <c r="AHD170" s="155"/>
      <c r="AHE170" s="155"/>
      <c r="AHF170" s="155"/>
      <c r="AHG170" s="155"/>
      <c r="AHH170" s="155"/>
      <c r="AHI170" s="155"/>
      <c r="AHJ170" s="155"/>
      <c r="AHK170" s="155"/>
      <c r="AHL170" s="155"/>
      <c r="AHM170" s="155"/>
      <c r="AHN170" s="155"/>
      <c r="AHO170" s="155"/>
      <c r="AHP170" s="155"/>
      <c r="AHQ170" s="155"/>
      <c r="AHR170" s="155"/>
      <c r="AHS170" s="155"/>
      <c r="AHT170" s="155"/>
      <c r="AHU170" s="155"/>
      <c r="AHV170" s="155"/>
      <c r="AHW170" s="155"/>
      <c r="AHX170" s="155"/>
      <c r="AHY170" s="155"/>
      <c r="AHZ170" s="155"/>
      <c r="AIA170" s="155"/>
      <c r="AIB170" s="155"/>
      <c r="AIC170" s="155"/>
      <c r="AID170" s="155"/>
      <c r="AIE170" s="155"/>
      <c r="AIF170" s="155"/>
      <c r="AIG170" s="155"/>
      <c r="AIH170" s="155"/>
      <c r="AII170" s="155"/>
      <c r="AIJ170" s="155"/>
      <c r="AIK170" s="155"/>
      <c r="AIL170" s="155"/>
      <c r="AIM170" s="155"/>
      <c r="AIN170" s="155"/>
      <c r="AIO170" s="155"/>
      <c r="AIP170" s="155"/>
      <c r="AIQ170" s="155"/>
      <c r="AIR170" s="155"/>
      <c r="AIS170" s="155"/>
      <c r="AIT170" s="155"/>
      <c r="AIU170" s="155"/>
      <c r="AIV170" s="155"/>
      <c r="AIW170" s="155"/>
      <c r="AIX170" s="155"/>
      <c r="AIY170" s="155"/>
      <c r="AIZ170" s="155"/>
      <c r="AJA170" s="155"/>
      <c r="AJB170" s="155"/>
      <c r="AJC170" s="155"/>
      <c r="AJD170" s="155"/>
      <c r="AJE170" s="155"/>
      <c r="AJF170" s="155"/>
      <c r="AJG170" s="155"/>
      <c r="AJH170" s="155"/>
      <c r="AJI170" s="155"/>
      <c r="AJJ170" s="155"/>
      <c r="AJK170" s="155"/>
      <c r="AJL170" s="155"/>
      <c r="AJM170" s="155"/>
      <c r="AJN170" s="155"/>
      <c r="AJO170" s="155"/>
      <c r="AJP170" s="155"/>
      <c r="AJQ170" s="155"/>
      <c r="AJR170" s="155"/>
      <c r="AJS170" s="155"/>
      <c r="AJT170" s="155"/>
      <c r="AJU170" s="155"/>
      <c r="AJV170" s="155"/>
      <c r="AJW170" s="155"/>
      <c r="AJX170" s="155"/>
      <c r="AJY170" s="155"/>
      <c r="AJZ170" s="155"/>
      <c r="AKA170" s="155"/>
      <c r="AKB170" s="155"/>
      <c r="AKC170" s="155"/>
      <c r="AKD170" s="155"/>
      <c r="AKE170" s="155"/>
      <c r="AKF170" s="155"/>
      <c r="AKG170" s="155"/>
      <c r="AKH170" s="155"/>
      <c r="AKI170" s="155"/>
      <c r="AKJ170" s="155"/>
      <c r="AKK170" s="155"/>
      <c r="AKL170" s="155"/>
      <c r="AKM170" s="155"/>
      <c r="AKN170" s="155"/>
      <c r="AKO170" s="155"/>
      <c r="AKP170" s="155"/>
      <c r="AKQ170" s="155"/>
      <c r="AKR170" s="155"/>
      <c r="AKS170" s="155"/>
      <c r="AKT170" s="155"/>
      <c r="AKU170" s="155"/>
      <c r="AKV170" s="155"/>
      <c r="AKW170" s="155"/>
      <c r="AKX170" s="155"/>
      <c r="AKY170" s="155"/>
      <c r="AKZ170" s="155"/>
      <c r="ALA170" s="155"/>
      <c r="ALB170" s="155"/>
      <c r="ALC170" s="155"/>
      <c r="ALD170" s="155"/>
      <c r="ALE170" s="155"/>
      <c r="ALF170" s="155"/>
      <c r="ALG170" s="155"/>
      <c r="ALH170" s="155"/>
      <c r="ALI170" s="155"/>
      <c r="ALJ170" s="155"/>
      <c r="ALK170" s="155"/>
      <c r="ALL170" s="155"/>
      <c r="ALM170" s="155"/>
      <c r="ALN170" s="155"/>
      <c r="ALO170" s="155"/>
      <c r="ALP170" s="155"/>
      <c r="ALQ170" s="155"/>
      <c r="ALR170" s="155"/>
      <c r="ALS170" s="155"/>
      <c r="ALT170" s="155"/>
      <c r="ALU170" s="155"/>
      <c r="ALV170" s="155"/>
      <c r="ALW170" s="155"/>
      <c r="ALX170" s="155"/>
      <c r="ALY170" s="155"/>
      <c r="ALZ170" s="155"/>
      <c r="AMA170" s="155"/>
      <c r="AMB170" s="155"/>
      <c r="AMC170" s="155"/>
      <c r="AMD170" s="155"/>
      <c r="AME170" s="155"/>
      <c r="AMF170" s="155"/>
      <c r="AMG170" s="155"/>
      <c r="AMH170" s="155"/>
      <c r="AMI170" s="155"/>
      <c r="AMJ170" s="155"/>
      <c r="AMK170" s="155"/>
    </row>
    <row r="171" spans="1:1025" ht="13.15" customHeight="1" x14ac:dyDescent="0.2">
      <c r="A171" s="79" t="s">
        <v>80</v>
      </c>
      <c r="B171" s="80" t="s">
        <v>81</v>
      </c>
      <c r="C171" s="319">
        <v>2</v>
      </c>
      <c r="D171" s="320">
        <v>20</v>
      </c>
      <c r="E171" s="78">
        <f t="shared" si="1"/>
        <v>10</v>
      </c>
    </row>
    <row r="172" spans="1:1025" hidden="1" x14ac:dyDescent="0.2">
      <c r="A172" s="79"/>
      <c r="B172" s="80"/>
      <c r="C172" s="124"/>
      <c r="D172" s="119"/>
      <c r="E172" s="82">
        <f>C172*D172</f>
        <v>0</v>
      </c>
    </row>
    <row r="173" spans="1:1025" x14ac:dyDescent="0.2">
      <c r="A173" s="79" t="s">
        <v>41</v>
      </c>
      <c r="B173" s="80" t="s">
        <v>42</v>
      </c>
      <c r="C173" s="125">
        <f>E44</f>
        <v>2</v>
      </c>
      <c r="D173" s="82">
        <f>+SUM(E161:E172)</f>
        <v>137.58333333333331</v>
      </c>
      <c r="E173" s="82">
        <f>C173*D173</f>
        <v>275.16666666666663</v>
      </c>
    </row>
    <row r="174" spans="1:1025" x14ac:dyDescent="0.2">
      <c r="D174" s="89" t="s">
        <v>43</v>
      </c>
      <c r="E174" s="90">
        <f>$B$54</f>
        <v>9.0909090909090912E-2</v>
      </c>
      <c r="F174" s="91">
        <f>E173*E174</f>
        <v>25.015151515151512</v>
      </c>
    </row>
    <row r="175" spans="1:1025" ht="11.25" customHeight="1" x14ac:dyDescent="0.2"/>
    <row r="176" spans="1:1025" ht="13.9" customHeight="1" x14ac:dyDescent="0.2">
      <c r="A176" s="1" t="s">
        <v>84</v>
      </c>
    </row>
    <row r="177" spans="1:1025" ht="11.25" customHeight="1" x14ac:dyDescent="0.2"/>
    <row r="178" spans="1:1025" ht="24" x14ac:dyDescent="0.2">
      <c r="A178" s="71" t="s">
        <v>22</v>
      </c>
      <c r="B178" s="72" t="s">
        <v>23</v>
      </c>
      <c r="C178" s="117" t="s">
        <v>69</v>
      </c>
      <c r="D178" s="73" t="s">
        <v>24</v>
      </c>
      <c r="E178" s="73" t="s">
        <v>25</v>
      </c>
      <c r="F178" s="74" t="s">
        <v>26</v>
      </c>
    </row>
    <row r="179" spans="1:1025" x14ac:dyDescent="0.2">
      <c r="A179" s="75" t="s">
        <v>70</v>
      </c>
      <c r="B179" s="76" t="s">
        <v>63</v>
      </c>
      <c r="C179" s="118">
        <f>C161</f>
        <v>12</v>
      </c>
      <c r="D179" s="78">
        <f>+D161</f>
        <v>110</v>
      </c>
      <c r="E179" s="78">
        <f t="shared" ref="E179:E185" si="2">IFERROR(D179/C179,0)</f>
        <v>9.1666666666666661</v>
      </c>
    </row>
    <row r="180" spans="1:1025" x14ac:dyDescent="0.2">
      <c r="A180" s="79" t="s">
        <v>71</v>
      </c>
      <c r="B180" s="80" t="s">
        <v>63</v>
      </c>
      <c r="C180" s="118">
        <f>C162</f>
        <v>4</v>
      </c>
      <c r="D180" s="82">
        <f>+D162</f>
        <v>35</v>
      </c>
      <c r="E180" s="78">
        <f t="shared" si="2"/>
        <v>8.75</v>
      </c>
    </row>
    <row r="181" spans="1:1025" x14ac:dyDescent="0.2">
      <c r="A181" s="79" t="s">
        <v>72</v>
      </c>
      <c r="B181" s="80" t="s">
        <v>63</v>
      </c>
      <c r="C181" s="118">
        <f>C163</f>
        <v>2</v>
      </c>
      <c r="D181" s="82">
        <f>+D163</f>
        <v>28</v>
      </c>
      <c r="E181" s="78">
        <f t="shared" si="2"/>
        <v>14</v>
      </c>
    </row>
    <row r="182" spans="1:1025" x14ac:dyDescent="0.2">
      <c r="A182" s="79" t="s">
        <v>74</v>
      </c>
      <c r="B182" s="80" t="s">
        <v>75</v>
      </c>
      <c r="C182" s="118">
        <f>C165</f>
        <v>4</v>
      </c>
      <c r="D182" s="82">
        <f>+D165</f>
        <v>60</v>
      </c>
      <c r="E182" s="78">
        <f t="shared" si="2"/>
        <v>15</v>
      </c>
    </row>
    <row r="183" spans="1:1025" x14ac:dyDescent="0.2">
      <c r="A183" s="79" t="s">
        <v>77</v>
      </c>
      <c r="B183" s="80" t="s">
        <v>63</v>
      </c>
      <c r="C183" s="118">
        <f>C167</f>
        <v>6</v>
      </c>
      <c r="D183" s="82">
        <f>+D167</f>
        <v>67</v>
      </c>
      <c r="E183" s="78">
        <f t="shared" si="2"/>
        <v>11.166666666666666</v>
      </c>
      <c r="G183" s="1"/>
    </row>
    <row r="184" spans="1:1025" x14ac:dyDescent="0.2">
      <c r="A184" s="375" t="s">
        <v>383</v>
      </c>
      <c r="B184" s="376" t="s">
        <v>63</v>
      </c>
      <c r="C184" s="319">
        <v>4.7619047619047616E-2</v>
      </c>
      <c r="D184" s="377">
        <f>D170</f>
        <v>1</v>
      </c>
      <c r="E184" s="315">
        <f t="shared" si="2"/>
        <v>21</v>
      </c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  <c r="AV184" s="155"/>
      <c r="AW184" s="155"/>
      <c r="AX184" s="155"/>
      <c r="AY184" s="155"/>
      <c r="AZ184" s="155"/>
      <c r="BA184" s="155"/>
      <c r="BB184" s="155"/>
      <c r="BC184" s="155"/>
      <c r="BD184" s="155"/>
      <c r="BE184" s="155"/>
      <c r="BF184" s="155"/>
      <c r="BG184" s="155"/>
      <c r="BH184" s="155"/>
      <c r="BI184" s="155"/>
      <c r="BJ184" s="155"/>
      <c r="BK184" s="155"/>
      <c r="BL184" s="155"/>
      <c r="BM184" s="155"/>
      <c r="BN184" s="155"/>
      <c r="BO184" s="155"/>
      <c r="BP184" s="155"/>
      <c r="BQ184" s="155"/>
      <c r="BR184" s="155"/>
      <c r="BS184" s="155"/>
      <c r="BT184" s="155"/>
      <c r="BU184" s="155"/>
      <c r="BV184" s="155"/>
      <c r="BW184" s="155"/>
      <c r="BX184" s="155"/>
      <c r="BY184" s="155"/>
      <c r="BZ184" s="155"/>
      <c r="CA184" s="155"/>
      <c r="CB184" s="155"/>
      <c r="CC184" s="155"/>
      <c r="CD184" s="155"/>
      <c r="CE184" s="155"/>
      <c r="CF184" s="155"/>
      <c r="CG184" s="155"/>
      <c r="CH184" s="155"/>
      <c r="CI184" s="155"/>
      <c r="CJ184" s="155"/>
      <c r="CK184" s="155"/>
      <c r="CL184" s="155"/>
      <c r="CM184" s="155"/>
      <c r="CN184" s="155"/>
      <c r="CO184" s="155"/>
      <c r="CP184" s="155"/>
      <c r="CQ184" s="155"/>
      <c r="CR184" s="155"/>
      <c r="CS184" s="155"/>
      <c r="CT184" s="155"/>
      <c r="CU184" s="155"/>
      <c r="CV184" s="155"/>
      <c r="CW184" s="155"/>
      <c r="CX184" s="155"/>
      <c r="CY184" s="155"/>
      <c r="CZ184" s="155"/>
      <c r="DA184" s="155"/>
      <c r="DB184" s="155"/>
      <c r="DC184" s="155"/>
      <c r="DD184" s="155"/>
      <c r="DE184" s="155"/>
      <c r="DF184" s="155"/>
      <c r="DG184" s="155"/>
      <c r="DH184" s="155"/>
      <c r="DI184" s="155"/>
      <c r="DJ184" s="155"/>
      <c r="DK184" s="155"/>
      <c r="DL184" s="155"/>
      <c r="DM184" s="155"/>
      <c r="DN184" s="155"/>
      <c r="DO184" s="155"/>
      <c r="DP184" s="155"/>
      <c r="DQ184" s="155"/>
      <c r="DR184" s="155"/>
      <c r="DS184" s="155"/>
      <c r="DT184" s="155"/>
      <c r="DU184" s="155"/>
      <c r="DV184" s="155"/>
      <c r="DW184" s="155"/>
      <c r="DX184" s="155"/>
      <c r="DY184" s="155"/>
      <c r="DZ184" s="155"/>
      <c r="EA184" s="155"/>
      <c r="EB184" s="155"/>
      <c r="EC184" s="155"/>
      <c r="ED184" s="155"/>
      <c r="EE184" s="155"/>
      <c r="EF184" s="155"/>
      <c r="EG184" s="155"/>
      <c r="EH184" s="155"/>
      <c r="EI184" s="155"/>
      <c r="EJ184" s="155"/>
      <c r="EK184" s="155"/>
      <c r="EL184" s="155"/>
      <c r="EM184" s="155"/>
      <c r="EN184" s="155"/>
      <c r="EO184" s="155"/>
      <c r="EP184" s="155"/>
      <c r="EQ184" s="155"/>
      <c r="ER184" s="155"/>
      <c r="ES184" s="155"/>
      <c r="ET184" s="155"/>
      <c r="EU184" s="155"/>
      <c r="EV184" s="155"/>
      <c r="EW184" s="155"/>
      <c r="EX184" s="155"/>
      <c r="EY184" s="155"/>
      <c r="EZ184" s="155"/>
      <c r="FA184" s="155"/>
      <c r="FB184" s="155"/>
      <c r="FC184" s="155"/>
      <c r="FD184" s="155"/>
      <c r="FE184" s="155"/>
      <c r="FF184" s="155"/>
      <c r="FG184" s="155"/>
      <c r="FH184" s="155"/>
      <c r="FI184" s="155"/>
      <c r="FJ184" s="155"/>
      <c r="FK184" s="155"/>
      <c r="FL184" s="155"/>
      <c r="FM184" s="155"/>
      <c r="FN184" s="155"/>
      <c r="FO184" s="155"/>
      <c r="FP184" s="155"/>
      <c r="FQ184" s="155"/>
      <c r="FR184" s="155"/>
      <c r="FS184" s="155"/>
      <c r="FT184" s="155"/>
      <c r="FU184" s="155"/>
      <c r="FV184" s="155"/>
      <c r="FW184" s="155"/>
      <c r="FX184" s="155"/>
      <c r="FY184" s="155"/>
      <c r="FZ184" s="155"/>
      <c r="GA184" s="155"/>
      <c r="GB184" s="155"/>
      <c r="GC184" s="155"/>
      <c r="GD184" s="155"/>
      <c r="GE184" s="155"/>
      <c r="GF184" s="155"/>
      <c r="GG184" s="155"/>
      <c r="GH184" s="155"/>
      <c r="GI184" s="155"/>
      <c r="GJ184" s="155"/>
      <c r="GK184" s="155"/>
      <c r="GL184" s="155"/>
      <c r="GM184" s="155"/>
      <c r="GN184" s="155"/>
      <c r="GO184" s="155"/>
      <c r="GP184" s="155"/>
      <c r="GQ184" s="155"/>
      <c r="GR184" s="155"/>
      <c r="GS184" s="155"/>
      <c r="GT184" s="155"/>
      <c r="GU184" s="155"/>
      <c r="GV184" s="155"/>
      <c r="GW184" s="155"/>
      <c r="GX184" s="155"/>
      <c r="GY184" s="155"/>
      <c r="GZ184" s="155"/>
      <c r="HA184" s="155"/>
      <c r="HB184" s="155"/>
      <c r="HC184" s="155"/>
      <c r="HD184" s="155"/>
      <c r="HE184" s="155"/>
      <c r="HF184" s="155"/>
      <c r="HG184" s="155"/>
      <c r="HH184" s="155"/>
      <c r="HI184" s="155"/>
      <c r="HJ184" s="155"/>
      <c r="HK184" s="155"/>
      <c r="HL184" s="155"/>
      <c r="HM184" s="155"/>
      <c r="HN184" s="155"/>
      <c r="HO184" s="155"/>
      <c r="HP184" s="155"/>
      <c r="HQ184" s="155"/>
      <c r="HR184" s="155"/>
      <c r="HS184" s="155"/>
      <c r="HT184" s="155"/>
      <c r="HU184" s="155"/>
      <c r="HV184" s="155"/>
      <c r="HW184" s="155"/>
      <c r="HX184" s="155"/>
      <c r="HY184" s="155"/>
      <c r="HZ184" s="155"/>
      <c r="IA184" s="155"/>
      <c r="IB184" s="155"/>
      <c r="IC184" s="155"/>
      <c r="ID184" s="155"/>
      <c r="IE184" s="155"/>
      <c r="IF184" s="155"/>
      <c r="IG184" s="155"/>
      <c r="IH184" s="155"/>
      <c r="II184" s="155"/>
      <c r="IJ184" s="155"/>
      <c r="IK184" s="155"/>
      <c r="IL184" s="155"/>
      <c r="IM184" s="155"/>
      <c r="IN184" s="155"/>
      <c r="IO184" s="155"/>
      <c r="IP184" s="155"/>
      <c r="IQ184" s="155"/>
      <c r="IR184" s="155"/>
      <c r="IS184" s="155"/>
      <c r="IT184" s="155"/>
      <c r="IU184" s="155"/>
      <c r="IV184" s="155"/>
      <c r="IW184" s="155"/>
      <c r="IX184" s="155"/>
      <c r="IY184" s="155"/>
      <c r="IZ184" s="155"/>
      <c r="JA184" s="155"/>
      <c r="JB184" s="155"/>
      <c r="JC184" s="155"/>
      <c r="JD184" s="155"/>
      <c r="JE184" s="155"/>
      <c r="JF184" s="155"/>
      <c r="JG184" s="155"/>
      <c r="JH184" s="155"/>
      <c r="JI184" s="155"/>
      <c r="JJ184" s="155"/>
      <c r="JK184" s="155"/>
      <c r="JL184" s="155"/>
      <c r="JM184" s="155"/>
      <c r="JN184" s="155"/>
      <c r="JO184" s="155"/>
      <c r="JP184" s="155"/>
      <c r="JQ184" s="155"/>
      <c r="JR184" s="155"/>
      <c r="JS184" s="155"/>
      <c r="JT184" s="155"/>
      <c r="JU184" s="155"/>
      <c r="JV184" s="155"/>
      <c r="JW184" s="155"/>
      <c r="JX184" s="155"/>
      <c r="JY184" s="155"/>
      <c r="JZ184" s="155"/>
      <c r="KA184" s="155"/>
      <c r="KB184" s="155"/>
      <c r="KC184" s="155"/>
      <c r="KD184" s="155"/>
      <c r="KE184" s="155"/>
      <c r="KF184" s="155"/>
      <c r="KG184" s="155"/>
      <c r="KH184" s="155"/>
      <c r="KI184" s="155"/>
      <c r="KJ184" s="155"/>
      <c r="KK184" s="155"/>
      <c r="KL184" s="155"/>
      <c r="KM184" s="155"/>
      <c r="KN184" s="155"/>
      <c r="KO184" s="155"/>
      <c r="KP184" s="155"/>
      <c r="KQ184" s="155"/>
      <c r="KR184" s="155"/>
      <c r="KS184" s="155"/>
      <c r="KT184" s="155"/>
      <c r="KU184" s="155"/>
      <c r="KV184" s="155"/>
      <c r="KW184" s="155"/>
      <c r="KX184" s="155"/>
      <c r="KY184" s="155"/>
      <c r="KZ184" s="155"/>
      <c r="LA184" s="155"/>
      <c r="LB184" s="155"/>
      <c r="LC184" s="155"/>
      <c r="LD184" s="155"/>
      <c r="LE184" s="155"/>
      <c r="LF184" s="155"/>
      <c r="LG184" s="155"/>
      <c r="LH184" s="155"/>
      <c r="LI184" s="155"/>
      <c r="LJ184" s="155"/>
      <c r="LK184" s="155"/>
      <c r="LL184" s="155"/>
      <c r="LM184" s="155"/>
      <c r="LN184" s="155"/>
      <c r="LO184" s="155"/>
      <c r="LP184" s="155"/>
      <c r="LQ184" s="155"/>
      <c r="LR184" s="155"/>
      <c r="LS184" s="155"/>
      <c r="LT184" s="155"/>
      <c r="LU184" s="155"/>
      <c r="LV184" s="155"/>
      <c r="LW184" s="155"/>
      <c r="LX184" s="155"/>
      <c r="LY184" s="155"/>
      <c r="LZ184" s="155"/>
      <c r="MA184" s="155"/>
      <c r="MB184" s="155"/>
      <c r="MC184" s="155"/>
      <c r="MD184" s="155"/>
      <c r="ME184" s="155"/>
      <c r="MF184" s="155"/>
      <c r="MG184" s="155"/>
      <c r="MH184" s="155"/>
      <c r="MI184" s="155"/>
      <c r="MJ184" s="155"/>
      <c r="MK184" s="155"/>
      <c r="ML184" s="155"/>
      <c r="MM184" s="155"/>
      <c r="MN184" s="155"/>
      <c r="MO184" s="155"/>
      <c r="MP184" s="155"/>
      <c r="MQ184" s="155"/>
      <c r="MR184" s="155"/>
      <c r="MS184" s="155"/>
      <c r="MT184" s="155"/>
      <c r="MU184" s="155"/>
      <c r="MV184" s="155"/>
      <c r="MW184" s="155"/>
      <c r="MX184" s="155"/>
      <c r="MY184" s="155"/>
      <c r="MZ184" s="155"/>
      <c r="NA184" s="155"/>
      <c r="NB184" s="155"/>
      <c r="NC184" s="155"/>
      <c r="ND184" s="155"/>
      <c r="NE184" s="155"/>
      <c r="NF184" s="155"/>
      <c r="NG184" s="155"/>
      <c r="NH184" s="155"/>
      <c r="NI184" s="155"/>
      <c r="NJ184" s="155"/>
      <c r="NK184" s="155"/>
      <c r="NL184" s="155"/>
      <c r="NM184" s="155"/>
      <c r="NN184" s="155"/>
      <c r="NO184" s="155"/>
      <c r="NP184" s="155"/>
      <c r="NQ184" s="155"/>
      <c r="NR184" s="155"/>
      <c r="NS184" s="155"/>
      <c r="NT184" s="155"/>
      <c r="NU184" s="155"/>
      <c r="NV184" s="155"/>
      <c r="NW184" s="155"/>
      <c r="NX184" s="155"/>
      <c r="NY184" s="155"/>
      <c r="NZ184" s="155"/>
      <c r="OA184" s="155"/>
      <c r="OB184" s="155"/>
      <c r="OC184" s="155"/>
      <c r="OD184" s="155"/>
      <c r="OE184" s="155"/>
      <c r="OF184" s="155"/>
      <c r="OG184" s="155"/>
      <c r="OH184" s="155"/>
      <c r="OI184" s="155"/>
      <c r="OJ184" s="155"/>
      <c r="OK184" s="155"/>
      <c r="OL184" s="155"/>
      <c r="OM184" s="155"/>
      <c r="ON184" s="155"/>
      <c r="OO184" s="155"/>
      <c r="OP184" s="155"/>
      <c r="OQ184" s="155"/>
      <c r="OR184" s="155"/>
      <c r="OS184" s="155"/>
      <c r="OT184" s="155"/>
      <c r="OU184" s="155"/>
      <c r="OV184" s="155"/>
      <c r="OW184" s="155"/>
      <c r="OX184" s="155"/>
      <c r="OY184" s="155"/>
      <c r="OZ184" s="155"/>
      <c r="PA184" s="155"/>
      <c r="PB184" s="155"/>
      <c r="PC184" s="155"/>
      <c r="PD184" s="155"/>
      <c r="PE184" s="155"/>
      <c r="PF184" s="155"/>
      <c r="PG184" s="155"/>
      <c r="PH184" s="155"/>
      <c r="PI184" s="155"/>
      <c r="PJ184" s="155"/>
      <c r="PK184" s="155"/>
      <c r="PL184" s="155"/>
      <c r="PM184" s="155"/>
      <c r="PN184" s="155"/>
      <c r="PO184" s="155"/>
      <c r="PP184" s="155"/>
      <c r="PQ184" s="155"/>
      <c r="PR184" s="155"/>
      <c r="PS184" s="155"/>
      <c r="PT184" s="155"/>
      <c r="PU184" s="155"/>
      <c r="PV184" s="155"/>
      <c r="PW184" s="155"/>
      <c r="PX184" s="155"/>
      <c r="PY184" s="155"/>
      <c r="PZ184" s="155"/>
      <c r="QA184" s="155"/>
      <c r="QB184" s="155"/>
      <c r="QC184" s="155"/>
      <c r="QD184" s="155"/>
      <c r="QE184" s="155"/>
      <c r="QF184" s="155"/>
      <c r="QG184" s="155"/>
      <c r="QH184" s="155"/>
      <c r="QI184" s="155"/>
      <c r="QJ184" s="155"/>
      <c r="QK184" s="155"/>
      <c r="QL184" s="155"/>
      <c r="QM184" s="155"/>
      <c r="QN184" s="155"/>
      <c r="QO184" s="155"/>
      <c r="QP184" s="155"/>
      <c r="QQ184" s="155"/>
      <c r="QR184" s="155"/>
      <c r="QS184" s="155"/>
      <c r="QT184" s="155"/>
      <c r="QU184" s="155"/>
      <c r="QV184" s="155"/>
      <c r="QW184" s="155"/>
      <c r="QX184" s="155"/>
      <c r="QY184" s="155"/>
      <c r="QZ184" s="155"/>
      <c r="RA184" s="155"/>
      <c r="RB184" s="155"/>
      <c r="RC184" s="155"/>
      <c r="RD184" s="155"/>
      <c r="RE184" s="155"/>
      <c r="RF184" s="155"/>
      <c r="RG184" s="155"/>
      <c r="RH184" s="155"/>
      <c r="RI184" s="155"/>
      <c r="RJ184" s="155"/>
      <c r="RK184" s="155"/>
      <c r="RL184" s="155"/>
      <c r="RM184" s="155"/>
      <c r="RN184" s="155"/>
      <c r="RO184" s="155"/>
      <c r="RP184" s="155"/>
      <c r="RQ184" s="155"/>
      <c r="RR184" s="155"/>
      <c r="RS184" s="155"/>
      <c r="RT184" s="155"/>
      <c r="RU184" s="155"/>
      <c r="RV184" s="155"/>
      <c r="RW184" s="155"/>
      <c r="RX184" s="155"/>
      <c r="RY184" s="155"/>
      <c r="RZ184" s="155"/>
      <c r="SA184" s="155"/>
      <c r="SB184" s="155"/>
      <c r="SC184" s="155"/>
      <c r="SD184" s="155"/>
      <c r="SE184" s="155"/>
      <c r="SF184" s="155"/>
      <c r="SG184" s="155"/>
      <c r="SH184" s="155"/>
      <c r="SI184" s="155"/>
      <c r="SJ184" s="155"/>
      <c r="SK184" s="155"/>
      <c r="SL184" s="155"/>
      <c r="SM184" s="155"/>
      <c r="SN184" s="155"/>
      <c r="SO184" s="155"/>
      <c r="SP184" s="155"/>
      <c r="SQ184" s="155"/>
      <c r="SR184" s="155"/>
      <c r="SS184" s="155"/>
      <c r="ST184" s="155"/>
      <c r="SU184" s="155"/>
      <c r="SV184" s="155"/>
      <c r="SW184" s="155"/>
      <c r="SX184" s="155"/>
      <c r="SY184" s="155"/>
      <c r="SZ184" s="155"/>
      <c r="TA184" s="155"/>
      <c r="TB184" s="155"/>
      <c r="TC184" s="155"/>
      <c r="TD184" s="155"/>
      <c r="TE184" s="155"/>
      <c r="TF184" s="155"/>
      <c r="TG184" s="155"/>
      <c r="TH184" s="155"/>
      <c r="TI184" s="155"/>
      <c r="TJ184" s="155"/>
      <c r="TK184" s="155"/>
      <c r="TL184" s="155"/>
      <c r="TM184" s="155"/>
      <c r="TN184" s="155"/>
      <c r="TO184" s="155"/>
      <c r="TP184" s="155"/>
      <c r="TQ184" s="155"/>
      <c r="TR184" s="155"/>
      <c r="TS184" s="155"/>
      <c r="TT184" s="155"/>
      <c r="TU184" s="155"/>
      <c r="TV184" s="155"/>
      <c r="TW184" s="155"/>
      <c r="TX184" s="155"/>
      <c r="TY184" s="155"/>
      <c r="TZ184" s="155"/>
      <c r="UA184" s="155"/>
      <c r="UB184" s="155"/>
      <c r="UC184" s="155"/>
      <c r="UD184" s="155"/>
      <c r="UE184" s="155"/>
      <c r="UF184" s="155"/>
      <c r="UG184" s="155"/>
      <c r="UH184" s="155"/>
      <c r="UI184" s="155"/>
      <c r="UJ184" s="155"/>
      <c r="UK184" s="155"/>
      <c r="UL184" s="155"/>
      <c r="UM184" s="155"/>
      <c r="UN184" s="155"/>
      <c r="UO184" s="155"/>
      <c r="UP184" s="155"/>
      <c r="UQ184" s="155"/>
      <c r="UR184" s="155"/>
      <c r="US184" s="155"/>
      <c r="UT184" s="155"/>
      <c r="UU184" s="155"/>
      <c r="UV184" s="155"/>
      <c r="UW184" s="155"/>
      <c r="UX184" s="155"/>
      <c r="UY184" s="155"/>
      <c r="UZ184" s="155"/>
      <c r="VA184" s="155"/>
      <c r="VB184" s="155"/>
      <c r="VC184" s="155"/>
      <c r="VD184" s="155"/>
      <c r="VE184" s="155"/>
      <c r="VF184" s="155"/>
      <c r="VG184" s="155"/>
      <c r="VH184" s="155"/>
      <c r="VI184" s="155"/>
      <c r="VJ184" s="155"/>
      <c r="VK184" s="155"/>
      <c r="VL184" s="155"/>
      <c r="VM184" s="155"/>
      <c r="VN184" s="155"/>
      <c r="VO184" s="155"/>
      <c r="VP184" s="155"/>
      <c r="VQ184" s="155"/>
      <c r="VR184" s="155"/>
      <c r="VS184" s="155"/>
      <c r="VT184" s="155"/>
      <c r="VU184" s="155"/>
      <c r="VV184" s="155"/>
      <c r="VW184" s="155"/>
      <c r="VX184" s="155"/>
      <c r="VY184" s="155"/>
      <c r="VZ184" s="155"/>
      <c r="WA184" s="155"/>
      <c r="WB184" s="155"/>
      <c r="WC184" s="155"/>
      <c r="WD184" s="155"/>
      <c r="WE184" s="155"/>
      <c r="WF184" s="155"/>
      <c r="WG184" s="155"/>
      <c r="WH184" s="155"/>
      <c r="WI184" s="155"/>
      <c r="WJ184" s="155"/>
      <c r="WK184" s="155"/>
      <c r="WL184" s="155"/>
      <c r="WM184" s="155"/>
      <c r="WN184" s="155"/>
      <c r="WO184" s="155"/>
      <c r="WP184" s="155"/>
      <c r="WQ184" s="155"/>
      <c r="WR184" s="155"/>
      <c r="WS184" s="155"/>
      <c r="WT184" s="155"/>
      <c r="WU184" s="155"/>
      <c r="WV184" s="155"/>
      <c r="WW184" s="155"/>
      <c r="WX184" s="155"/>
      <c r="WY184" s="155"/>
      <c r="WZ184" s="155"/>
      <c r="XA184" s="155"/>
      <c r="XB184" s="155"/>
      <c r="XC184" s="155"/>
      <c r="XD184" s="155"/>
      <c r="XE184" s="155"/>
      <c r="XF184" s="155"/>
      <c r="XG184" s="155"/>
      <c r="XH184" s="155"/>
      <c r="XI184" s="155"/>
      <c r="XJ184" s="155"/>
      <c r="XK184" s="155"/>
      <c r="XL184" s="155"/>
      <c r="XM184" s="155"/>
      <c r="XN184" s="155"/>
      <c r="XO184" s="155"/>
      <c r="XP184" s="155"/>
      <c r="XQ184" s="155"/>
      <c r="XR184" s="155"/>
      <c r="XS184" s="155"/>
      <c r="XT184" s="155"/>
      <c r="XU184" s="155"/>
      <c r="XV184" s="155"/>
      <c r="XW184" s="155"/>
      <c r="XX184" s="155"/>
      <c r="XY184" s="155"/>
      <c r="XZ184" s="155"/>
      <c r="YA184" s="155"/>
      <c r="YB184" s="155"/>
      <c r="YC184" s="155"/>
      <c r="YD184" s="155"/>
      <c r="YE184" s="155"/>
      <c r="YF184" s="155"/>
      <c r="YG184" s="155"/>
      <c r="YH184" s="155"/>
      <c r="YI184" s="155"/>
      <c r="YJ184" s="155"/>
      <c r="YK184" s="155"/>
      <c r="YL184" s="155"/>
      <c r="YM184" s="155"/>
      <c r="YN184" s="155"/>
      <c r="YO184" s="155"/>
      <c r="YP184" s="155"/>
      <c r="YQ184" s="155"/>
      <c r="YR184" s="155"/>
      <c r="YS184" s="155"/>
      <c r="YT184" s="155"/>
      <c r="YU184" s="155"/>
      <c r="YV184" s="155"/>
      <c r="YW184" s="155"/>
      <c r="YX184" s="155"/>
      <c r="YY184" s="155"/>
      <c r="YZ184" s="155"/>
      <c r="ZA184" s="155"/>
      <c r="ZB184" s="155"/>
      <c r="ZC184" s="155"/>
      <c r="ZD184" s="155"/>
      <c r="ZE184" s="155"/>
      <c r="ZF184" s="155"/>
      <c r="ZG184" s="155"/>
      <c r="ZH184" s="155"/>
      <c r="ZI184" s="155"/>
      <c r="ZJ184" s="155"/>
      <c r="ZK184" s="155"/>
      <c r="ZL184" s="155"/>
      <c r="ZM184" s="155"/>
      <c r="ZN184" s="155"/>
      <c r="ZO184" s="155"/>
      <c r="ZP184" s="155"/>
      <c r="ZQ184" s="155"/>
      <c r="ZR184" s="155"/>
      <c r="ZS184" s="155"/>
      <c r="ZT184" s="155"/>
      <c r="ZU184" s="155"/>
      <c r="ZV184" s="155"/>
      <c r="ZW184" s="155"/>
      <c r="ZX184" s="155"/>
      <c r="ZY184" s="155"/>
      <c r="ZZ184" s="155"/>
      <c r="AAA184" s="155"/>
      <c r="AAB184" s="155"/>
      <c r="AAC184" s="155"/>
      <c r="AAD184" s="155"/>
      <c r="AAE184" s="155"/>
      <c r="AAF184" s="155"/>
      <c r="AAG184" s="155"/>
      <c r="AAH184" s="155"/>
      <c r="AAI184" s="155"/>
      <c r="AAJ184" s="155"/>
      <c r="AAK184" s="155"/>
      <c r="AAL184" s="155"/>
      <c r="AAM184" s="155"/>
      <c r="AAN184" s="155"/>
      <c r="AAO184" s="155"/>
      <c r="AAP184" s="155"/>
      <c r="AAQ184" s="155"/>
      <c r="AAR184" s="155"/>
      <c r="AAS184" s="155"/>
      <c r="AAT184" s="155"/>
      <c r="AAU184" s="155"/>
      <c r="AAV184" s="155"/>
      <c r="AAW184" s="155"/>
      <c r="AAX184" s="155"/>
      <c r="AAY184" s="155"/>
      <c r="AAZ184" s="155"/>
      <c r="ABA184" s="155"/>
      <c r="ABB184" s="155"/>
      <c r="ABC184" s="155"/>
      <c r="ABD184" s="155"/>
      <c r="ABE184" s="155"/>
      <c r="ABF184" s="155"/>
      <c r="ABG184" s="155"/>
      <c r="ABH184" s="155"/>
      <c r="ABI184" s="155"/>
      <c r="ABJ184" s="155"/>
      <c r="ABK184" s="155"/>
      <c r="ABL184" s="155"/>
      <c r="ABM184" s="155"/>
      <c r="ABN184" s="155"/>
      <c r="ABO184" s="155"/>
      <c r="ABP184" s="155"/>
      <c r="ABQ184" s="155"/>
      <c r="ABR184" s="155"/>
      <c r="ABS184" s="155"/>
      <c r="ABT184" s="155"/>
      <c r="ABU184" s="155"/>
      <c r="ABV184" s="155"/>
      <c r="ABW184" s="155"/>
      <c r="ABX184" s="155"/>
      <c r="ABY184" s="155"/>
      <c r="ABZ184" s="155"/>
      <c r="ACA184" s="155"/>
      <c r="ACB184" s="155"/>
      <c r="ACC184" s="155"/>
      <c r="ACD184" s="155"/>
      <c r="ACE184" s="155"/>
      <c r="ACF184" s="155"/>
      <c r="ACG184" s="155"/>
      <c r="ACH184" s="155"/>
      <c r="ACI184" s="155"/>
      <c r="ACJ184" s="155"/>
      <c r="ACK184" s="155"/>
      <c r="ACL184" s="155"/>
      <c r="ACM184" s="155"/>
      <c r="ACN184" s="155"/>
      <c r="ACO184" s="155"/>
      <c r="ACP184" s="155"/>
      <c r="ACQ184" s="155"/>
      <c r="ACR184" s="155"/>
      <c r="ACS184" s="155"/>
      <c r="ACT184" s="155"/>
      <c r="ACU184" s="155"/>
      <c r="ACV184" s="155"/>
      <c r="ACW184" s="155"/>
      <c r="ACX184" s="155"/>
      <c r="ACY184" s="155"/>
      <c r="ACZ184" s="155"/>
      <c r="ADA184" s="155"/>
      <c r="ADB184" s="155"/>
      <c r="ADC184" s="155"/>
      <c r="ADD184" s="155"/>
      <c r="ADE184" s="155"/>
      <c r="ADF184" s="155"/>
      <c r="ADG184" s="155"/>
      <c r="ADH184" s="155"/>
      <c r="ADI184" s="155"/>
      <c r="ADJ184" s="155"/>
      <c r="ADK184" s="155"/>
      <c r="ADL184" s="155"/>
      <c r="ADM184" s="155"/>
      <c r="ADN184" s="155"/>
      <c r="ADO184" s="155"/>
      <c r="ADP184" s="155"/>
      <c r="ADQ184" s="155"/>
      <c r="ADR184" s="155"/>
      <c r="ADS184" s="155"/>
      <c r="ADT184" s="155"/>
      <c r="ADU184" s="155"/>
      <c r="ADV184" s="155"/>
      <c r="ADW184" s="155"/>
      <c r="ADX184" s="155"/>
      <c r="ADY184" s="155"/>
      <c r="ADZ184" s="155"/>
      <c r="AEA184" s="155"/>
      <c r="AEB184" s="155"/>
      <c r="AEC184" s="155"/>
      <c r="AED184" s="155"/>
      <c r="AEE184" s="155"/>
      <c r="AEF184" s="155"/>
      <c r="AEG184" s="155"/>
      <c r="AEH184" s="155"/>
      <c r="AEI184" s="155"/>
      <c r="AEJ184" s="155"/>
      <c r="AEK184" s="155"/>
      <c r="AEL184" s="155"/>
      <c r="AEM184" s="155"/>
      <c r="AEN184" s="155"/>
      <c r="AEO184" s="155"/>
      <c r="AEP184" s="155"/>
      <c r="AEQ184" s="155"/>
      <c r="AER184" s="155"/>
      <c r="AES184" s="155"/>
      <c r="AET184" s="155"/>
      <c r="AEU184" s="155"/>
      <c r="AEV184" s="155"/>
      <c r="AEW184" s="155"/>
      <c r="AEX184" s="155"/>
      <c r="AEY184" s="155"/>
      <c r="AEZ184" s="155"/>
      <c r="AFA184" s="155"/>
      <c r="AFB184" s="155"/>
      <c r="AFC184" s="155"/>
      <c r="AFD184" s="155"/>
      <c r="AFE184" s="155"/>
      <c r="AFF184" s="155"/>
      <c r="AFG184" s="155"/>
      <c r="AFH184" s="155"/>
      <c r="AFI184" s="155"/>
      <c r="AFJ184" s="155"/>
      <c r="AFK184" s="155"/>
      <c r="AFL184" s="155"/>
      <c r="AFM184" s="155"/>
      <c r="AFN184" s="155"/>
      <c r="AFO184" s="155"/>
      <c r="AFP184" s="155"/>
      <c r="AFQ184" s="155"/>
      <c r="AFR184" s="155"/>
      <c r="AFS184" s="155"/>
      <c r="AFT184" s="155"/>
      <c r="AFU184" s="155"/>
      <c r="AFV184" s="155"/>
      <c r="AFW184" s="155"/>
      <c r="AFX184" s="155"/>
      <c r="AFY184" s="155"/>
      <c r="AFZ184" s="155"/>
      <c r="AGA184" s="155"/>
      <c r="AGB184" s="155"/>
      <c r="AGC184" s="155"/>
      <c r="AGD184" s="155"/>
      <c r="AGE184" s="155"/>
      <c r="AGF184" s="155"/>
      <c r="AGG184" s="155"/>
      <c r="AGH184" s="155"/>
      <c r="AGI184" s="155"/>
      <c r="AGJ184" s="155"/>
      <c r="AGK184" s="155"/>
      <c r="AGL184" s="155"/>
      <c r="AGM184" s="155"/>
      <c r="AGN184" s="155"/>
      <c r="AGO184" s="155"/>
      <c r="AGP184" s="155"/>
      <c r="AGQ184" s="155"/>
      <c r="AGR184" s="155"/>
      <c r="AGS184" s="155"/>
      <c r="AGT184" s="155"/>
      <c r="AGU184" s="155"/>
      <c r="AGV184" s="155"/>
      <c r="AGW184" s="155"/>
      <c r="AGX184" s="155"/>
      <c r="AGY184" s="155"/>
      <c r="AGZ184" s="155"/>
      <c r="AHA184" s="155"/>
      <c r="AHB184" s="155"/>
      <c r="AHC184" s="155"/>
      <c r="AHD184" s="155"/>
      <c r="AHE184" s="155"/>
      <c r="AHF184" s="155"/>
      <c r="AHG184" s="155"/>
      <c r="AHH184" s="155"/>
      <c r="AHI184" s="155"/>
      <c r="AHJ184" s="155"/>
      <c r="AHK184" s="155"/>
      <c r="AHL184" s="155"/>
      <c r="AHM184" s="155"/>
      <c r="AHN184" s="155"/>
      <c r="AHO184" s="155"/>
      <c r="AHP184" s="155"/>
      <c r="AHQ184" s="155"/>
      <c r="AHR184" s="155"/>
      <c r="AHS184" s="155"/>
      <c r="AHT184" s="155"/>
      <c r="AHU184" s="155"/>
      <c r="AHV184" s="155"/>
      <c r="AHW184" s="155"/>
      <c r="AHX184" s="155"/>
      <c r="AHY184" s="155"/>
      <c r="AHZ184" s="155"/>
      <c r="AIA184" s="155"/>
      <c r="AIB184" s="155"/>
      <c r="AIC184" s="155"/>
      <c r="AID184" s="155"/>
      <c r="AIE184" s="155"/>
      <c r="AIF184" s="155"/>
      <c r="AIG184" s="155"/>
      <c r="AIH184" s="155"/>
      <c r="AII184" s="155"/>
      <c r="AIJ184" s="155"/>
      <c r="AIK184" s="155"/>
      <c r="AIL184" s="155"/>
      <c r="AIM184" s="155"/>
      <c r="AIN184" s="155"/>
      <c r="AIO184" s="155"/>
      <c r="AIP184" s="155"/>
      <c r="AIQ184" s="155"/>
      <c r="AIR184" s="155"/>
      <c r="AIS184" s="155"/>
      <c r="AIT184" s="155"/>
      <c r="AIU184" s="155"/>
      <c r="AIV184" s="155"/>
      <c r="AIW184" s="155"/>
      <c r="AIX184" s="155"/>
      <c r="AIY184" s="155"/>
      <c r="AIZ184" s="155"/>
      <c r="AJA184" s="155"/>
      <c r="AJB184" s="155"/>
      <c r="AJC184" s="155"/>
      <c r="AJD184" s="155"/>
      <c r="AJE184" s="155"/>
      <c r="AJF184" s="155"/>
      <c r="AJG184" s="155"/>
      <c r="AJH184" s="155"/>
      <c r="AJI184" s="155"/>
      <c r="AJJ184" s="155"/>
      <c r="AJK184" s="155"/>
      <c r="AJL184" s="155"/>
      <c r="AJM184" s="155"/>
      <c r="AJN184" s="155"/>
      <c r="AJO184" s="155"/>
      <c r="AJP184" s="155"/>
      <c r="AJQ184" s="155"/>
      <c r="AJR184" s="155"/>
      <c r="AJS184" s="155"/>
      <c r="AJT184" s="155"/>
      <c r="AJU184" s="155"/>
      <c r="AJV184" s="155"/>
      <c r="AJW184" s="155"/>
      <c r="AJX184" s="155"/>
      <c r="AJY184" s="155"/>
      <c r="AJZ184" s="155"/>
      <c r="AKA184" s="155"/>
      <c r="AKB184" s="155"/>
      <c r="AKC184" s="155"/>
      <c r="AKD184" s="155"/>
      <c r="AKE184" s="155"/>
      <c r="AKF184" s="155"/>
      <c r="AKG184" s="155"/>
      <c r="AKH184" s="155"/>
      <c r="AKI184" s="155"/>
      <c r="AKJ184" s="155"/>
      <c r="AKK184" s="155"/>
      <c r="AKL184" s="155"/>
      <c r="AKM184" s="155"/>
      <c r="AKN184" s="155"/>
      <c r="AKO184" s="155"/>
      <c r="AKP184" s="155"/>
      <c r="AKQ184" s="155"/>
      <c r="AKR184" s="155"/>
      <c r="AKS184" s="155"/>
      <c r="AKT184" s="155"/>
      <c r="AKU184" s="155"/>
      <c r="AKV184" s="155"/>
      <c r="AKW184" s="155"/>
      <c r="AKX184" s="155"/>
      <c r="AKY184" s="155"/>
      <c r="AKZ184" s="155"/>
      <c r="ALA184" s="155"/>
      <c r="ALB184" s="155"/>
      <c r="ALC184" s="155"/>
      <c r="ALD184" s="155"/>
      <c r="ALE184" s="155"/>
      <c r="ALF184" s="155"/>
      <c r="ALG184" s="155"/>
      <c r="ALH184" s="155"/>
      <c r="ALI184" s="155"/>
      <c r="ALJ184" s="155"/>
      <c r="ALK184" s="155"/>
      <c r="ALL184" s="155"/>
      <c r="ALM184" s="155"/>
      <c r="ALN184" s="155"/>
      <c r="ALO184" s="155"/>
      <c r="ALP184" s="155"/>
      <c r="ALQ184" s="155"/>
      <c r="ALR184" s="155"/>
      <c r="ALS184" s="155"/>
      <c r="ALT184" s="155"/>
      <c r="ALU184" s="155"/>
      <c r="ALV184" s="155"/>
      <c r="ALW184" s="155"/>
      <c r="ALX184" s="155"/>
      <c r="ALY184" s="155"/>
      <c r="ALZ184" s="155"/>
      <c r="AMA184" s="155"/>
      <c r="AMB184" s="155"/>
      <c r="AMC184" s="155"/>
      <c r="AMD184" s="155"/>
      <c r="AME184" s="155"/>
      <c r="AMF184" s="155"/>
      <c r="AMG184" s="155"/>
      <c r="AMH184" s="155"/>
      <c r="AMI184" s="155"/>
      <c r="AMJ184" s="155"/>
      <c r="AMK184" s="155"/>
    </row>
    <row r="185" spans="1:1025" x14ac:dyDescent="0.2">
      <c r="A185" s="79" t="s">
        <v>80</v>
      </c>
      <c r="B185" s="80" t="s">
        <v>81</v>
      </c>
      <c r="C185" s="118">
        <f>C171</f>
        <v>2</v>
      </c>
      <c r="D185" s="82">
        <f>+D171</f>
        <v>20</v>
      </c>
      <c r="E185" s="78">
        <f t="shared" si="2"/>
        <v>10</v>
      </c>
      <c r="G185" s="1"/>
    </row>
    <row r="186" spans="1:1025" hidden="1" x14ac:dyDescent="0.2">
      <c r="A186" s="79" t="s">
        <v>82</v>
      </c>
      <c r="B186" s="80" t="s">
        <v>83</v>
      </c>
      <c r="C186" s="126">
        <v>1</v>
      </c>
      <c r="D186" s="77">
        <f>D172</f>
        <v>0</v>
      </c>
      <c r="E186" s="82">
        <f>C186*D186</f>
        <v>0</v>
      </c>
      <c r="G186" s="1"/>
    </row>
    <row r="187" spans="1:1025" x14ac:dyDescent="0.2">
      <c r="A187" s="79" t="s">
        <v>41</v>
      </c>
      <c r="B187" s="80" t="s">
        <v>42</v>
      </c>
      <c r="C187" s="125">
        <f>E46+E47</f>
        <v>1</v>
      </c>
      <c r="D187" s="82">
        <f>+SUM(E179:E186)</f>
        <v>89.083333333333329</v>
      </c>
      <c r="E187" s="82">
        <f>C187*D187</f>
        <v>89.083333333333329</v>
      </c>
      <c r="G187" s="1"/>
    </row>
    <row r="188" spans="1:1025" s="1" customFormat="1" x14ac:dyDescent="0.2">
      <c r="D188" s="89" t="s">
        <v>43</v>
      </c>
      <c r="E188" s="90">
        <f>E103</f>
        <v>9.0909090909090912E-2</v>
      </c>
      <c r="F188" s="91">
        <f>E187*E188</f>
        <v>8.0984848484848477</v>
      </c>
    </row>
    <row r="189" spans="1:1025" ht="11.25" customHeight="1" x14ac:dyDescent="0.2">
      <c r="G189" s="1"/>
    </row>
    <row r="190" spans="1:1025" s="1" customFormat="1" x14ac:dyDescent="0.2">
      <c r="A190" s="114" t="s">
        <v>85</v>
      </c>
      <c r="B190" s="127"/>
      <c r="C190" s="127"/>
      <c r="D190" s="128"/>
      <c r="E190" s="129"/>
      <c r="F190" s="130">
        <f>+F174+F188</f>
        <v>33.11363636363636</v>
      </c>
    </row>
    <row r="191" spans="1:1025" ht="11.25" customHeight="1" x14ac:dyDescent="0.2">
      <c r="G191" s="1"/>
    </row>
    <row r="192" spans="1:1025" x14ac:dyDescent="0.2">
      <c r="A192" s="28" t="s">
        <v>86</v>
      </c>
      <c r="G192" s="1"/>
    </row>
    <row r="193" spans="1:10" ht="11.25" customHeight="1" x14ac:dyDescent="0.2">
      <c r="B193" s="131"/>
      <c r="G193" s="1"/>
    </row>
    <row r="194" spans="1:10" x14ac:dyDescent="0.2">
      <c r="A194" s="155" t="s">
        <v>387</v>
      </c>
      <c r="G194" s="1"/>
    </row>
    <row r="195" spans="1:10" ht="11.25" customHeight="1" x14ac:dyDescent="0.2">
      <c r="G195" s="1"/>
    </row>
    <row r="196" spans="1:10" x14ac:dyDescent="0.2">
      <c r="A196" s="131" t="s">
        <v>87</v>
      </c>
      <c r="G196" s="1"/>
    </row>
    <row r="197" spans="1:10" s="1" customFormat="1" x14ac:dyDescent="0.2">
      <c r="A197" s="71" t="s">
        <v>22</v>
      </c>
      <c r="B197" s="72" t="s">
        <v>23</v>
      </c>
      <c r="C197" s="72" t="s">
        <v>16</v>
      </c>
      <c r="D197" s="73" t="s">
        <v>24</v>
      </c>
      <c r="E197" s="73" t="s">
        <v>25</v>
      </c>
      <c r="F197" s="74" t="s">
        <v>26</v>
      </c>
    </row>
    <row r="198" spans="1:10" x14ac:dyDescent="0.2">
      <c r="A198" s="75" t="s">
        <v>317</v>
      </c>
      <c r="B198" s="76" t="s">
        <v>63</v>
      </c>
      <c r="C198" s="132">
        <v>1</v>
      </c>
      <c r="D198" s="77">
        <v>130000</v>
      </c>
      <c r="E198" s="78">
        <f>C198*D198</f>
        <v>130000</v>
      </c>
      <c r="G198" s="1"/>
    </row>
    <row r="199" spans="1:10" x14ac:dyDescent="0.2">
      <c r="A199" s="79" t="s">
        <v>88</v>
      </c>
      <c r="B199" s="80" t="s">
        <v>89</v>
      </c>
      <c r="C199" s="88">
        <v>15</v>
      </c>
      <c r="D199" s="82"/>
      <c r="E199" s="82"/>
      <c r="G199" s="1"/>
    </row>
    <row r="200" spans="1:10" x14ac:dyDescent="0.2">
      <c r="A200" s="79" t="s">
        <v>90</v>
      </c>
      <c r="B200" s="80" t="s">
        <v>89</v>
      </c>
      <c r="C200" s="88">
        <v>0</v>
      </c>
      <c r="D200" s="82"/>
      <c r="E200" s="82"/>
      <c r="F200" s="133"/>
      <c r="I200" s="134"/>
      <c r="J200" s="134"/>
    </row>
    <row r="201" spans="1:10" x14ac:dyDescent="0.2">
      <c r="A201" s="79" t="s">
        <v>91</v>
      </c>
      <c r="B201" s="80" t="s">
        <v>12</v>
      </c>
      <c r="C201" s="87">
        <f>IFERROR(VLOOKUP(C199,'11. Depreciação'!A3:B17,2,0),0)</f>
        <v>70.73</v>
      </c>
      <c r="D201" s="82">
        <f>E198</f>
        <v>130000</v>
      </c>
      <c r="E201" s="82">
        <f>C201*D201/100</f>
        <v>91949</v>
      </c>
    </row>
    <row r="202" spans="1:10" x14ac:dyDescent="0.2">
      <c r="A202" s="135" t="s">
        <v>92</v>
      </c>
      <c r="B202" s="136" t="s">
        <v>28</v>
      </c>
      <c r="C202" s="136">
        <f>C199*12</f>
        <v>180</v>
      </c>
      <c r="D202" s="137">
        <f>IF(C200&lt;=C199,E201,0)</f>
        <v>91949</v>
      </c>
      <c r="E202" s="137">
        <f>IFERROR(D202/C202,0)</f>
        <v>510.82777777777778</v>
      </c>
    </row>
    <row r="203" spans="1:10" x14ac:dyDescent="0.2">
      <c r="A203" s="75" t="s">
        <v>332</v>
      </c>
      <c r="B203" s="76" t="s">
        <v>63</v>
      </c>
      <c r="C203" s="76">
        <f>C198</f>
        <v>1</v>
      </c>
      <c r="D203" s="77">
        <v>30000</v>
      </c>
      <c r="E203" s="78">
        <f>C203*D203</f>
        <v>30000</v>
      </c>
      <c r="G203" s="1"/>
    </row>
    <row r="204" spans="1:10" x14ac:dyDescent="0.2">
      <c r="A204" s="79" t="s">
        <v>88</v>
      </c>
      <c r="B204" s="80" t="s">
        <v>89</v>
      </c>
      <c r="C204" s="88">
        <v>20</v>
      </c>
      <c r="D204" s="82"/>
      <c r="E204" s="82"/>
    </row>
    <row r="205" spans="1:10" x14ac:dyDescent="0.2">
      <c r="A205" s="79" t="s">
        <v>93</v>
      </c>
      <c r="B205" s="80" t="s">
        <v>89</v>
      </c>
      <c r="C205" s="88">
        <v>0</v>
      </c>
      <c r="D205" s="82"/>
      <c r="E205" s="82"/>
      <c r="F205" s="133"/>
      <c r="I205" s="134"/>
      <c r="J205" s="134"/>
    </row>
    <row r="206" spans="1:10" x14ac:dyDescent="0.2">
      <c r="A206" s="79" t="s">
        <v>91</v>
      </c>
      <c r="B206" s="80" t="s">
        <v>12</v>
      </c>
      <c r="C206" s="138">
        <f>IFERROR(VLOOKUP(C204,'11. Depreciação'!A3:B17,2,0),0)</f>
        <v>0</v>
      </c>
      <c r="D206" s="82">
        <f>E203</f>
        <v>30000</v>
      </c>
      <c r="E206" s="82">
        <f>C206*D206/100</f>
        <v>0</v>
      </c>
    </row>
    <row r="207" spans="1:10" x14ac:dyDescent="0.2">
      <c r="A207" s="95" t="s">
        <v>94</v>
      </c>
      <c r="B207" s="139" t="s">
        <v>28</v>
      </c>
      <c r="C207" s="139">
        <f>C204*12</f>
        <v>240</v>
      </c>
      <c r="D207" s="96">
        <f>IF(C205&lt;=C204,E206,0)</f>
        <v>0</v>
      </c>
      <c r="E207" s="96">
        <f>IFERROR(D207/C207,0)</f>
        <v>0</v>
      </c>
    </row>
    <row r="208" spans="1:10" x14ac:dyDescent="0.2">
      <c r="A208" s="83" t="s">
        <v>95</v>
      </c>
      <c r="B208" s="84"/>
      <c r="C208" s="84"/>
      <c r="D208" s="85"/>
      <c r="E208" s="86">
        <f>E202+E207</f>
        <v>510.82777777777778</v>
      </c>
    </row>
    <row r="209" spans="1:10" x14ac:dyDescent="0.2">
      <c r="A209" s="95" t="s">
        <v>96</v>
      </c>
      <c r="B209" s="139" t="s">
        <v>63</v>
      </c>
      <c r="C209" s="88">
        <v>1</v>
      </c>
      <c r="D209" s="96">
        <f>E208</f>
        <v>510.82777777777778</v>
      </c>
      <c r="E209" s="86">
        <f>C209*D209</f>
        <v>510.82777777777778</v>
      </c>
    </row>
    <row r="210" spans="1:10" x14ac:dyDescent="0.2">
      <c r="A210" s="140"/>
      <c r="B210" s="140"/>
      <c r="C210" s="140"/>
      <c r="D210" s="89" t="s">
        <v>43</v>
      </c>
      <c r="E210" s="90">
        <f>E103</f>
        <v>9.0909090909090912E-2</v>
      </c>
      <c r="F210" s="130">
        <f>E209*E210</f>
        <v>46.43888888888889</v>
      </c>
    </row>
    <row r="211" spans="1:10" ht="11.25" customHeight="1" x14ac:dyDescent="0.2"/>
    <row r="212" spans="1:10" x14ac:dyDescent="0.2">
      <c r="A212" s="131" t="s">
        <v>97</v>
      </c>
    </row>
    <row r="213" spans="1:10" x14ac:dyDescent="0.2">
      <c r="A213" s="141" t="s">
        <v>22</v>
      </c>
      <c r="B213" s="142" t="s">
        <v>23</v>
      </c>
      <c r="C213" s="142" t="s">
        <v>16</v>
      </c>
      <c r="D213" s="73" t="s">
        <v>24</v>
      </c>
      <c r="E213" s="143" t="s">
        <v>25</v>
      </c>
      <c r="F213" s="74" t="s">
        <v>26</v>
      </c>
      <c r="I213" s="134"/>
      <c r="J213" s="134"/>
    </row>
    <row r="214" spans="1:10" x14ac:dyDescent="0.2">
      <c r="A214" s="79" t="s">
        <v>98</v>
      </c>
      <c r="B214" s="80" t="s">
        <v>63</v>
      </c>
      <c r="C214" s="132">
        <v>1</v>
      </c>
      <c r="D214" s="82">
        <f>D198</f>
        <v>130000</v>
      </c>
      <c r="E214" s="82">
        <f>C214*D214</f>
        <v>130000</v>
      </c>
      <c r="F214" s="133"/>
      <c r="I214" s="134"/>
      <c r="J214" s="134"/>
    </row>
    <row r="215" spans="1:10" x14ac:dyDescent="0.2">
      <c r="A215" s="79" t="s">
        <v>99</v>
      </c>
      <c r="B215" s="80" t="s">
        <v>12</v>
      </c>
      <c r="C215" s="88">
        <v>6.25</v>
      </c>
      <c r="D215" s="82"/>
      <c r="E215" s="82"/>
      <c r="F215" s="133"/>
      <c r="I215" s="134"/>
      <c r="J215" s="134"/>
    </row>
    <row r="216" spans="1:10" x14ac:dyDescent="0.2">
      <c r="A216" s="79" t="s">
        <v>100</v>
      </c>
      <c r="B216" s="80" t="s">
        <v>35</v>
      </c>
      <c r="C216" s="144">
        <f>IFERROR(IF(C200&lt;=C199,E198-(C201/(100*C199)*C200)*E198,E198-E201),0)*0.35</f>
        <v>45500</v>
      </c>
      <c r="D216" s="82"/>
      <c r="E216" s="82"/>
      <c r="F216" s="133"/>
      <c r="I216" s="134"/>
      <c r="J216" s="134"/>
    </row>
    <row r="217" spans="1:10" x14ac:dyDescent="0.2">
      <c r="A217" s="79" t="s">
        <v>101</v>
      </c>
      <c r="B217" s="80" t="s">
        <v>35</v>
      </c>
      <c r="C217" s="82">
        <f>IFERROR(IF(C200&gt;=C199,C216,((((C216)-(E198-E201))*(((C199-C200)+1)/(2*(C199-C200))))+(E198-E201))),0)</f>
        <v>42023.8</v>
      </c>
      <c r="D217" s="82"/>
      <c r="E217" s="82"/>
      <c r="F217" s="133"/>
      <c r="I217" s="134"/>
      <c r="J217" s="134"/>
    </row>
    <row r="218" spans="1:10" x14ac:dyDescent="0.2">
      <c r="A218" s="135" t="s">
        <v>102</v>
      </c>
      <c r="B218" s="136" t="s">
        <v>35</v>
      </c>
      <c r="C218" s="136"/>
      <c r="D218" s="137">
        <f>C215*C217/12/100</f>
        <v>218.87395833333332</v>
      </c>
      <c r="E218" s="137">
        <f>D218</f>
        <v>218.87395833333332</v>
      </c>
      <c r="F218" s="133"/>
      <c r="I218" s="134"/>
      <c r="J218" s="134"/>
    </row>
    <row r="219" spans="1:10" x14ac:dyDescent="0.2">
      <c r="A219" s="75" t="s">
        <v>384</v>
      </c>
      <c r="B219" s="76" t="s">
        <v>63</v>
      </c>
      <c r="C219" s="76">
        <f>C203</f>
        <v>1</v>
      </c>
      <c r="D219" s="78">
        <f>D203</f>
        <v>30000</v>
      </c>
      <c r="E219" s="78">
        <f>C219*D219</f>
        <v>30000</v>
      </c>
      <c r="F219" s="133"/>
      <c r="I219" s="134"/>
      <c r="J219" s="134"/>
    </row>
    <row r="220" spans="1:10" x14ac:dyDescent="0.2">
      <c r="A220" s="79" t="s">
        <v>99</v>
      </c>
      <c r="B220" s="80" t="s">
        <v>12</v>
      </c>
      <c r="C220" s="145">
        <f>C215</f>
        <v>6.25</v>
      </c>
      <c r="D220" s="82"/>
      <c r="E220" s="82"/>
      <c r="F220" s="133"/>
      <c r="I220" s="134"/>
      <c r="J220" s="134"/>
    </row>
    <row r="221" spans="1:10" x14ac:dyDescent="0.2">
      <c r="A221" s="79" t="s">
        <v>328</v>
      </c>
      <c r="B221" s="80" t="s">
        <v>35</v>
      </c>
      <c r="C221" s="144">
        <f>IFERROR(IF(C205&lt;=C204,E203-(C206/(100*C204)*C205)*E203,E203-E206),0)*0.35</f>
        <v>10500</v>
      </c>
      <c r="D221" s="82"/>
      <c r="E221" s="82"/>
      <c r="F221" s="133"/>
      <c r="I221" s="134"/>
      <c r="J221" s="134"/>
    </row>
    <row r="222" spans="1:10" x14ac:dyDescent="0.2">
      <c r="A222" s="79" t="s">
        <v>103</v>
      </c>
      <c r="B222" s="80" t="s">
        <v>35</v>
      </c>
      <c r="C222" s="82">
        <f>IFERROR(IF(C205&gt;=C204,C221,((((C221)-(E203-E206))*(((C204-C205)+1)/(2*(C204-C205))))+(E203-E206))),0)</f>
        <v>19762.5</v>
      </c>
      <c r="D222" s="82"/>
      <c r="E222" s="82"/>
      <c r="F222" s="133"/>
      <c r="I222" s="134"/>
      <c r="J222" s="134"/>
    </row>
    <row r="223" spans="1:10" x14ac:dyDescent="0.2">
      <c r="A223" s="95" t="s">
        <v>385</v>
      </c>
      <c r="B223" s="139" t="s">
        <v>35</v>
      </c>
      <c r="C223" s="139"/>
      <c r="D223" s="96">
        <f>C220*C222/12/100</f>
        <v>102.9296875</v>
      </c>
      <c r="E223" s="96">
        <f>D223</f>
        <v>102.9296875</v>
      </c>
      <c r="F223" s="133"/>
      <c r="I223" s="134"/>
      <c r="J223" s="134"/>
    </row>
    <row r="224" spans="1:10" ht="8.4499999999999993" customHeight="1" x14ac:dyDescent="0.2">
      <c r="A224" s="83"/>
      <c r="B224" s="139"/>
      <c r="C224" s="139"/>
      <c r="D224" s="146"/>
      <c r="E224" s="86"/>
      <c r="F224" s="133"/>
      <c r="I224" s="134"/>
      <c r="J224" s="134"/>
    </row>
    <row r="225" spans="1:10" x14ac:dyDescent="0.2">
      <c r="A225" s="83" t="s">
        <v>104</v>
      </c>
      <c r="B225" s="139" t="s">
        <v>63</v>
      </c>
      <c r="C225" s="145">
        <v>1</v>
      </c>
      <c r="D225" s="146">
        <f>E218+E223</f>
        <v>321.80364583333335</v>
      </c>
      <c r="E225" s="86">
        <f>C225*D225</f>
        <v>321.80364583333335</v>
      </c>
      <c r="F225" s="133"/>
      <c r="I225" s="134"/>
      <c r="J225" s="134"/>
    </row>
    <row r="226" spans="1:10" x14ac:dyDescent="0.2">
      <c r="A226" s="83" t="s">
        <v>386</v>
      </c>
      <c r="B226" s="139" t="s">
        <v>63</v>
      </c>
      <c r="C226" s="145"/>
      <c r="D226" s="146"/>
      <c r="E226" s="86">
        <f>E225*0.1</f>
        <v>32.180364583333336</v>
      </c>
      <c r="F226" s="133"/>
      <c r="I226" s="134"/>
      <c r="J226" s="134"/>
    </row>
    <row r="227" spans="1:10" x14ac:dyDescent="0.2">
      <c r="A227" s="95" t="s">
        <v>318</v>
      </c>
      <c r="B227" s="139"/>
      <c r="C227" s="145">
        <v>1</v>
      </c>
      <c r="D227" s="96">
        <f>E225+E226</f>
        <v>353.98401041666671</v>
      </c>
      <c r="E227" s="86">
        <f>C227*D227</f>
        <v>353.98401041666671</v>
      </c>
      <c r="F227" s="133"/>
      <c r="I227" s="134"/>
      <c r="J227" s="134"/>
    </row>
    <row r="228" spans="1:10" x14ac:dyDescent="0.2">
      <c r="C228" s="147"/>
      <c r="D228" s="89" t="s">
        <v>43</v>
      </c>
      <c r="E228" s="90">
        <f>E210</f>
        <v>9.0909090909090912E-2</v>
      </c>
      <c r="F228" s="130">
        <f>E227*E228</f>
        <v>32.180364583333336</v>
      </c>
      <c r="I228" s="134"/>
      <c r="J228" s="134"/>
    </row>
    <row r="229" spans="1:10" ht="11.25" customHeight="1" x14ac:dyDescent="0.2">
      <c r="I229" s="134"/>
      <c r="J229" s="134"/>
    </row>
    <row r="230" spans="1:10" x14ac:dyDescent="0.2">
      <c r="A230" s="1" t="s">
        <v>105</v>
      </c>
      <c r="I230" s="134"/>
      <c r="J230" s="134"/>
    </row>
    <row r="231" spans="1:10" x14ac:dyDescent="0.2">
      <c r="A231" s="71" t="s">
        <v>22</v>
      </c>
      <c r="B231" s="72" t="s">
        <v>23</v>
      </c>
      <c r="C231" s="72" t="s">
        <v>16</v>
      </c>
      <c r="D231" s="73" t="s">
        <v>24</v>
      </c>
      <c r="E231" s="73" t="s">
        <v>25</v>
      </c>
      <c r="F231" s="74" t="s">
        <v>26</v>
      </c>
      <c r="I231" s="134"/>
      <c r="J231" s="134"/>
    </row>
    <row r="232" spans="1:10" x14ac:dyDescent="0.2">
      <c r="A232" s="75" t="s">
        <v>106</v>
      </c>
      <c r="B232" s="76" t="s">
        <v>63</v>
      </c>
      <c r="C232" s="78">
        <f>C209</f>
        <v>1</v>
      </c>
      <c r="D232" s="78">
        <f>0.01*(C216+D203)</f>
        <v>755</v>
      </c>
      <c r="E232" s="78">
        <f>C232*D232</f>
        <v>755</v>
      </c>
      <c r="I232" s="134"/>
      <c r="J232" s="134"/>
    </row>
    <row r="233" spans="1:10" x14ac:dyDescent="0.2">
      <c r="A233" s="79" t="s">
        <v>107</v>
      </c>
      <c r="B233" s="80" t="s">
        <v>63</v>
      </c>
      <c r="C233" s="78">
        <f>C209</f>
        <v>1</v>
      </c>
      <c r="D233" s="148">
        <v>66.7</v>
      </c>
      <c r="E233" s="82">
        <f>C233*D233</f>
        <v>66.7</v>
      </c>
      <c r="I233" s="134"/>
      <c r="J233" s="134"/>
    </row>
    <row r="234" spans="1:10" x14ac:dyDescent="0.2">
      <c r="A234" s="79" t="s">
        <v>108</v>
      </c>
      <c r="B234" s="80" t="s">
        <v>63</v>
      </c>
      <c r="C234" s="78">
        <f>C209</f>
        <v>1</v>
      </c>
      <c r="D234" s="148">
        <v>2510</v>
      </c>
      <c r="E234" s="82">
        <f>C234*D234</f>
        <v>2510</v>
      </c>
      <c r="F234" s="85"/>
      <c r="I234" s="134"/>
      <c r="J234" s="134"/>
    </row>
    <row r="235" spans="1:10" x14ac:dyDescent="0.2">
      <c r="A235" s="95" t="s">
        <v>109</v>
      </c>
      <c r="B235" s="139" t="s">
        <v>28</v>
      </c>
      <c r="C235" s="139">
        <v>12</v>
      </c>
      <c r="D235" s="96">
        <f>SUM(E232:E234)</f>
        <v>3331.7</v>
      </c>
      <c r="E235" s="96">
        <f>D235/C235</f>
        <v>277.64166666666665</v>
      </c>
      <c r="I235" s="134"/>
      <c r="J235" s="134"/>
    </row>
    <row r="236" spans="1:10" x14ac:dyDescent="0.2">
      <c r="D236" s="89" t="s">
        <v>43</v>
      </c>
      <c r="E236" s="90">
        <f>E228</f>
        <v>9.0909090909090912E-2</v>
      </c>
      <c r="F236" s="91">
        <f>E235*E236</f>
        <v>25.240151515151513</v>
      </c>
      <c r="I236" s="134"/>
      <c r="J236" s="134"/>
    </row>
    <row r="237" spans="1:10" ht="11.25" customHeight="1" x14ac:dyDescent="0.2">
      <c r="I237" s="134"/>
      <c r="J237" s="134"/>
    </row>
    <row r="238" spans="1:10" x14ac:dyDescent="0.2">
      <c r="A238" s="1" t="s">
        <v>110</v>
      </c>
      <c r="B238" s="149"/>
      <c r="I238" s="134"/>
      <c r="J238" s="134"/>
    </row>
    <row r="239" spans="1:10" x14ac:dyDescent="0.2">
      <c r="B239" s="149"/>
      <c r="I239" s="134"/>
      <c r="J239" s="134"/>
    </row>
    <row r="240" spans="1:10" x14ac:dyDescent="0.2">
      <c r="A240" s="95" t="s">
        <v>111</v>
      </c>
      <c r="B240" s="150">
        <f>'10. Roteiros'!L31</f>
        <v>124.99636020000001</v>
      </c>
      <c r="I240" s="134"/>
      <c r="J240" s="134"/>
    </row>
    <row r="241" spans="1:10" x14ac:dyDescent="0.2">
      <c r="B241" s="149"/>
      <c r="I241" s="134"/>
      <c r="J241" s="134"/>
    </row>
    <row r="242" spans="1:10" x14ac:dyDescent="0.2">
      <c r="A242" s="71" t="s">
        <v>22</v>
      </c>
      <c r="B242" s="72" t="s">
        <v>23</v>
      </c>
      <c r="C242" s="72" t="s">
        <v>112</v>
      </c>
      <c r="D242" s="73" t="s">
        <v>24</v>
      </c>
      <c r="E242" s="73" t="s">
        <v>25</v>
      </c>
      <c r="F242" s="74" t="s">
        <v>26</v>
      </c>
      <c r="I242" s="134"/>
      <c r="J242" s="134"/>
    </row>
    <row r="243" spans="1:10" x14ac:dyDescent="0.2">
      <c r="A243" s="75" t="s">
        <v>113</v>
      </c>
      <c r="B243" s="76" t="s">
        <v>114</v>
      </c>
      <c r="C243" s="151">
        <v>2.5</v>
      </c>
      <c r="D243" s="152">
        <v>4.6879999999999997</v>
      </c>
      <c r="E243" s="78"/>
      <c r="I243" s="134"/>
      <c r="J243" s="134"/>
    </row>
    <row r="244" spans="1:10" x14ac:dyDescent="0.2">
      <c r="A244" s="79" t="s">
        <v>115</v>
      </c>
      <c r="B244" s="80" t="s">
        <v>116</v>
      </c>
      <c r="C244" s="101">
        <f>B240</f>
        <v>124.99636020000001</v>
      </c>
      <c r="D244" s="153">
        <f>IFERROR(+D243/C243,"-")</f>
        <v>1.8752</v>
      </c>
      <c r="E244" s="82">
        <f>IFERROR(C244*D244,"-")</f>
        <v>234.39317464704001</v>
      </c>
      <c r="I244" s="134"/>
      <c r="J244" s="134"/>
    </row>
    <row r="245" spans="1:10" x14ac:dyDescent="0.2">
      <c r="A245" s="79" t="s">
        <v>117</v>
      </c>
      <c r="B245" s="80" t="s">
        <v>118</v>
      </c>
      <c r="C245" s="154">
        <v>1.33</v>
      </c>
      <c r="D245" s="148">
        <v>12.4</v>
      </c>
      <c r="E245" s="82"/>
      <c r="H245" s="155"/>
      <c r="I245" s="134"/>
      <c r="J245" s="134"/>
    </row>
    <row r="246" spans="1:10" x14ac:dyDescent="0.2">
      <c r="A246" s="79" t="s">
        <v>119</v>
      </c>
      <c r="B246" s="80" t="s">
        <v>116</v>
      </c>
      <c r="C246" s="101">
        <f>C244</f>
        <v>124.99636020000001</v>
      </c>
      <c r="D246" s="156">
        <f>+C245*D245/1000</f>
        <v>1.6492E-2</v>
      </c>
      <c r="E246" s="82">
        <f>C246*D246</f>
        <v>2.0614399724184</v>
      </c>
      <c r="H246" s="155"/>
      <c r="I246" s="134"/>
      <c r="J246" s="134"/>
    </row>
    <row r="247" spans="1:10" x14ac:dyDescent="0.2">
      <c r="A247" s="79" t="s">
        <v>120</v>
      </c>
      <c r="B247" s="80" t="s">
        <v>118</v>
      </c>
      <c r="C247" s="154">
        <v>0.18</v>
      </c>
      <c r="D247" s="148">
        <v>22</v>
      </c>
      <c r="E247" s="82"/>
      <c r="H247" s="155"/>
      <c r="I247" s="134"/>
      <c r="J247" s="134"/>
    </row>
    <row r="248" spans="1:10" x14ac:dyDescent="0.2">
      <c r="A248" s="79" t="s">
        <v>121</v>
      </c>
      <c r="B248" s="80" t="s">
        <v>116</v>
      </c>
      <c r="C248" s="101">
        <f>C244</f>
        <v>124.99636020000001</v>
      </c>
      <c r="D248" s="156">
        <f>+C247*D247/1000</f>
        <v>3.96E-3</v>
      </c>
      <c r="E248" s="82">
        <f>C248*D248</f>
        <v>0.49498558639200002</v>
      </c>
      <c r="H248" s="155"/>
      <c r="I248" s="134"/>
      <c r="J248" s="134"/>
    </row>
    <row r="249" spans="1:10" x14ac:dyDescent="0.2">
      <c r="A249" s="79" t="s">
        <v>122</v>
      </c>
      <c r="B249" s="80" t="s">
        <v>118</v>
      </c>
      <c r="C249" s="154">
        <v>1</v>
      </c>
      <c r="D249" s="148">
        <v>18</v>
      </c>
      <c r="E249" s="82"/>
      <c r="H249" s="155"/>
      <c r="I249" s="134"/>
      <c r="J249" s="134"/>
    </row>
    <row r="250" spans="1:10" x14ac:dyDescent="0.2">
      <c r="A250" s="79" t="s">
        <v>123</v>
      </c>
      <c r="B250" s="80" t="s">
        <v>116</v>
      </c>
      <c r="C250" s="101">
        <f>C244</f>
        <v>124.99636020000001</v>
      </c>
      <c r="D250" s="156">
        <f>+C249*D249/1000</f>
        <v>1.7999999999999999E-2</v>
      </c>
      <c r="E250" s="82">
        <f>C250*D250</f>
        <v>2.2499344836000001</v>
      </c>
      <c r="H250" s="155"/>
      <c r="I250" s="134"/>
      <c r="J250" s="134"/>
    </row>
    <row r="251" spans="1:10" x14ac:dyDescent="0.2">
      <c r="A251" s="79" t="s">
        <v>124</v>
      </c>
      <c r="B251" s="80" t="s">
        <v>125</v>
      </c>
      <c r="C251" s="154">
        <v>2</v>
      </c>
      <c r="D251" s="148">
        <v>19</v>
      </c>
      <c r="E251" s="82"/>
      <c r="H251" s="155"/>
      <c r="I251" s="134"/>
      <c r="J251" s="134"/>
    </row>
    <row r="252" spans="1:10" x14ac:dyDescent="0.2">
      <c r="A252" s="79" t="s">
        <v>126</v>
      </c>
      <c r="B252" s="80" t="s">
        <v>116</v>
      </c>
      <c r="C252" s="101">
        <f>C244</f>
        <v>124.99636020000001</v>
      </c>
      <c r="D252" s="156">
        <f>+C251*D251/1000</f>
        <v>3.7999999999999999E-2</v>
      </c>
      <c r="E252" s="82">
        <f>C252*D252</f>
        <v>4.7498616876000002</v>
      </c>
      <c r="H252" s="155"/>
      <c r="I252" s="134"/>
      <c r="J252" s="134"/>
    </row>
    <row r="253" spans="1:10" hidden="1" x14ac:dyDescent="0.2">
      <c r="A253" s="75" t="s">
        <v>327</v>
      </c>
      <c r="B253" s="80" t="s">
        <v>127</v>
      </c>
      <c r="C253" s="154"/>
      <c r="D253" s="157"/>
      <c r="E253" s="82"/>
      <c r="H253" s="155"/>
      <c r="I253" s="134"/>
      <c r="J253" s="134"/>
    </row>
    <row r="254" spans="1:10" hidden="1" x14ac:dyDescent="0.2">
      <c r="A254" s="79" t="s">
        <v>115</v>
      </c>
      <c r="B254" s="80" t="s">
        <v>128</v>
      </c>
      <c r="C254" s="101"/>
      <c r="D254" s="156">
        <f>C253*D253</f>
        <v>0</v>
      </c>
      <c r="E254" s="82">
        <f>C254*D254</f>
        <v>0</v>
      </c>
      <c r="H254" s="155"/>
      <c r="I254" s="134"/>
      <c r="J254" s="134"/>
    </row>
    <row r="255" spans="1:10" x14ac:dyDescent="0.2">
      <c r="A255" s="95" t="s">
        <v>129</v>
      </c>
      <c r="B255" s="139"/>
      <c r="C255" s="158"/>
      <c r="D255" s="159"/>
      <c r="E255" s="82"/>
      <c r="H255" s="155"/>
      <c r="I255" s="134"/>
      <c r="J255" s="134"/>
    </row>
    <row r="256" spans="1:10" x14ac:dyDescent="0.2">
      <c r="F256" s="130">
        <f>SUM(E243:E254)</f>
        <v>243.94939637705042</v>
      </c>
      <c r="I256" s="134"/>
      <c r="J256" s="134"/>
    </row>
    <row r="257" spans="1:10" ht="11.25" customHeight="1" x14ac:dyDescent="0.2">
      <c r="I257" s="134"/>
      <c r="J257" s="134"/>
    </row>
    <row r="258" spans="1:10" x14ac:dyDescent="0.2">
      <c r="A258" s="1" t="s">
        <v>130</v>
      </c>
      <c r="I258" s="134"/>
      <c r="J258" s="134"/>
    </row>
    <row r="259" spans="1:10" x14ac:dyDescent="0.2">
      <c r="A259" s="71" t="s">
        <v>22</v>
      </c>
      <c r="B259" s="72" t="s">
        <v>23</v>
      </c>
      <c r="C259" s="72" t="s">
        <v>16</v>
      </c>
      <c r="D259" s="73" t="s">
        <v>24</v>
      </c>
      <c r="E259" s="73" t="s">
        <v>25</v>
      </c>
      <c r="F259" s="74" t="s">
        <v>26</v>
      </c>
      <c r="I259" s="134"/>
      <c r="J259" s="134"/>
    </row>
    <row r="260" spans="1:10" hidden="1" x14ac:dyDescent="0.2">
      <c r="A260" s="75"/>
      <c r="B260" s="76"/>
      <c r="C260" s="82"/>
      <c r="D260" s="77"/>
      <c r="E260" s="78">
        <f>C260*D260</f>
        <v>0</v>
      </c>
      <c r="I260" s="134"/>
      <c r="J260" s="134"/>
    </row>
    <row r="261" spans="1:10" x14ac:dyDescent="0.2">
      <c r="A261" s="75" t="s">
        <v>131</v>
      </c>
      <c r="B261" s="76" t="s">
        <v>132</v>
      </c>
      <c r="C261" s="82">
        <f>C244</f>
        <v>124.99636020000001</v>
      </c>
      <c r="D261" s="77">
        <v>0.82</v>
      </c>
      <c r="E261" s="78">
        <f>C261*D261</f>
        <v>102.49701536400001</v>
      </c>
      <c r="I261" s="134"/>
      <c r="J261" s="134"/>
    </row>
    <row r="262" spans="1:10" x14ac:dyDescent="0.2">
      <c r="F262" s="130">
        <f>E261+E260</f>
        <v>102.49701536400001</v>
      </c>
      <c r="I262" s="134"/>
      <c r="J262" s="134"/>
    </row>
    <row r="263" spans="1:10" ht="11.25" customHeight="1" x14ac:dyDescent="0.2">
      <c r="I263" s="134"/>
      <c r="J263" s="134"/>
    </row>
    <row r="264" spans="1:10" x14ac:dyDescent="0.2">
      <c r="A264" s="1" t="s">
        <v>133</v>
      </c>
      <c r="I264" s="134"/>
      <c r="J264" s="134"/>
    </row>
    <row r="265" spans="1:10" x14ac:dyDescent="0.2">
      <c r="A265" s="71" t="s">
        <v>22</v>
      </c>
      <c r="B265" s="72" t="s">
        <v>23</v>
      </c>
      <c r="C265" s="72" t="s">
        <v>16</v>
      </c>
      <c r="D265" s="73" t="s">
        <v>24</v>
      </c>
      <c r="E265" s="73" t="s">
        <v>25</v>
      </c>
      <c r="F265" s="74" t="s">
        <v>26</v>
      </c>
      <c r="I265" s="134"/>
      <c r="J265" s="134"/>
    </row>
    <row r="266" spans="1:10" x14ac:dyDescent="0.2">
      <c r="A266" s="75" t="s">
        <v>134</v>
      </c>
      <c r="B266" s="76" t="s">
        <v>63</v>
      </c>
      <c r="C266" s="160">
        <v>6</v>
      </c>
      <c r="D266" s="77">
        <v>2150</v>
      </c>
      <c r="E266" s="78">
        <f>C266*D266</f>
        <v>12900</v>
      </c>
      <c r="I266" s="134"/>
      <c r="J266" s="134"/>
    </row>
    <row r="267" spans="1:10" x14ac:dyDescent="0.2">
      <c r="A267" s="75" t="s">
        <v>135</v>
      </c>
      <c r="B267" s="76" t="s">
        <v>63</v>
      </c>
      <c r="C267" s="160">
        <v>2</v>
      </c>
      <c r="D267" s="78"/>
      <c r="E267" s="78"/>
      <c r="I267" s="134"/>
      <c r="J267" s="134"/>
    </row>
    <row r="268" spans="1:10" x14ac:dyDescent="0.2">
      <c r="A268" s="75" t="s">
        <v>136</v>
      </c>
      <c r="B268" s="76" t="s">
        <v>63</v>
      </c>
      <c r="C268" s="78">
        <f>C266*C267</f>
        <v>12</v>
      </c>
      <c r="D268" s="77">
        <v>564</v>
      </c>
      <c r="E268" s="78">
        <f>C268*D268</f>
        <v>6768</v>
      </c>
      <c r="I268" s="134"/>
      <c r="J268" s="134"/>
    </row>
    <row r="269" spans="1:10" x14ac:dyDescent="0.2">
      <c r="A269" s="79" t="s">
        <v>137</v>
      </c>
      <c r="B269" s="80" t="s">
        <v>138</v>
      </c>
      <c r="C269" s="161">
        <v>80000</v>
      </c>
      <c r="D269" s="82">
        <f>E266+E268</f>
        <v>19668</v>
      </c>
      <c r="E269" s="82">
        <f>IFERROR(D269/C269,"-")</f>
        <v>0.24585000000000001</v>
      </c>
      <c r="I269" s="134"/>
      <c r="J269" s="134"/>
    </row>
    <row r="270" spans="1:10" x14ac:dyDescent="0.2">
      <c r="A270" s="79" t="s">
        <v>139</v>
      </c>
      <c r="B270" s="80" t="s">
        <v>116</v>
      </c>
      <c r="C270" s="82">
        <f>B240</f>
        <v>124.99636020000001</v>
      </c>
      <c r="D270" s="82">
        <f>E269</f>
        <v>0.24585000000000001</v>
      </c>
      <c r="E270" s="82">
        <f>IFERROR(C270*D270,0)</f>
        <v>30.730355155170006</v>
      </c>
      <c r="I270" s="134"/>
      <c r="J270" s="134"/>
    </row>
    <row r="271" spans="1:10" x14ac:dyDescent="0.2">
      <c r="F271" s="130">
        <f>E270</f>
        <v>30.730355155170006</v>
      </c>
      <c r="I271" s="134"/>
      <c r="J271" s="134"/>
    </row>
    <row r="272" spans="1:10" ht="11.25" customHeight="1" x14ac:dyDescent="0.2">
      <c r="G272" s="1"/>
    </row>
    <row r="273" spans="1:7" s="1" customFormat="1" x14ac:dyDescent="0.2">
      <c r="A273" s="114" t="s">
        <v>140</v>
      </c>
      <c r="B273" s="115"/>
      <c r="C273" s="115"/>
      <c r="D273" s="42"/>
      <c r="E273" s="116"/>
      <c r="F273" s="130">
        <f>+SUM(F198:F272)</f>
        <v>481.03617188359414</v>
      </c>
    </row>
    <row r="274" spans="1:7" ht="11.25" customHeight="1" x14ac:dyDescent="0.2">
      <c r="G274" s="1"/>
    </row>
    <row r="275" spans="1:7" s="1" customFormat="1" x14ac:dyDescent="0.2">
      <c r="A275" s="69" t="s">
        <v>319</v>
      </c>
      <c r="B275" s="69"/>
      <c r="C275" s="69"/>
      <c r="D275" s="27"/>
      <c r="E275" s="27"/>
      <c r="F275" s="85"/>
    </row>
    <row r="276" spans="1:7" ht="11.25" customHeight="1" x14ac:dyDescent="0.2">
      <c r="G276" s="1"/>
    </row>
    <row r="277" spans="1:7" s="1" customFormat="1" x14ac:dyDescent="0.2">
      <c r="A277" s="71" t="s">
        <v>22</v>
      </c>
      <c r="B277" s="72" t="s">
        <v>23</v>
      </c>
      <c r="C277" s="72" t="s">
        <v>16</v>
      </c>
      <c r="D277" s="73" t="s">
        <v>24</v>
      </c>
      <c r="E277" s="73" t="s">
        <v>25</v>
      </c>
      <c r="F277" s="74" t="s">
        <v>26</v>
      </c>
    </row>
    <row r="278" spans="1:7" s="1" customFormat="1" x14ac:dyDescent="0.2">
      <c r="A278" s="79" t="s">
        <v>141</v>
      </c>
      <c r="B278" s="80" t="s">
        <v>63</v>
      </c>
      <c r="C278" s="162">
        <v>0.16666666666666699</v>
      </c>
      <c r="D278" s="77">
        <v>39</v>
      </c>
      <c r="E278" s="82">
        <f t="shared" ref="E278:E283" si="3">C278*D278</f>
        <v>6.5000000000000124</v>
      </c>
      <c r="F278" s="133"/>
    </row>
    <row r="279" spans="1:7" s="1" customFormat="1" x14ac:dyDescent="0.2">
      <c r="A279" s="79" t="s">
        <v>142</v>
      </c>
      <c r="B279" s="80" t="s">
        <v>63</v>
      </c>
      <c r="C279" s="162">
        <v>0.16666666666666699</v>
      </c>
      <c r="D279" s="77">
        <v>26.92</v>
      </c>
      <c r="E279" s="82">
        <f t="shared" si="3"/>
        <v>4.4866666666666752</v>
      </c>
      <c r="F279" s="133"/>
    </row>
    <row r="280" spans="1:7" s="1" customFormat="1" x14ac:dyDescent="0.2">
      <c r="A280" s="79" t="s">
        <v>143</v>
      </c>
      <c r="B280" s="80" t="s">
        <v>63</v>
      </c>
      <c r="C280" s="162">
        <v>0.16666666666666699</v>
      </c>
      <c r="D280" s="77">
        <v>26.19</v>
      </c>
      <c r="E280" s="82">
        <f t="shared" si="3"/>
        <v>4.3650000000000091</v>
      </c>
      <c r="F280" s="133"/>
    </row>
    <row r="281" spans="1:7" s="1" customFormat="1" x14ac:dyDescent="0.2">
      <c r="A281" s="322" t="s">
        <v>320</v>
      </c>
      <c r="B281" s="323" t="s">
        <v>321</v>
      </c>
      <c r="C281" s="118">
        <f>'8.Ton'!B7</f>
        <v>10</v>
      </c>
      <c r="D281" s="77">
        <v>100</v>
      </c>
      <c r="E281" s="324">
        <f t="shared" si="3"/>
        <v>1000</v>
      </c>
      <c r="F281" s="133"/>
    </row>
    <row r="282" spans="1:7" s="1" customFormat="1" x14ac:dyDescent="0.2">
      <c r="A282" s="79" t="s">
        <v>329</v>
      </c>
      <c r="B282" s="164" t="s">
        <v>330</v>
      </c>
      <c r="C282" s="321">
        <v>16</v>
      </c>
      <c r="D282" s="148">
        <v>12</v>
      </c>
      <c r="E282" s="82">
        <f t="shared" si="3"/>
        <v>192</v>
      </c>
      <c r="F282" s="133"/>
    </row>
    <row r="283" spans="1:7" s="1" customFormat="1" hidden="1" x14ac:dyDescent="0.2">
      <c r="A283" s="79" t="s">
        <v>144</v>
      </c>
      <c r="B283" s="80" t="s">
        <v>145</v>
      </c>
      <c r="C283" s="162"/>
      <c r="D283" s="77"/>
      <c r="E283" s="82">
        <f t="shared" si="3"/>
        <v>0</v>
      </c>
      <c r="F283" s="133"/>
    </row>
    <row r="284" spans="1:7" s="1" customFormat="1" x14ac:dyDescent="0.2">
      <c r="A284" s="69"/>
      <c r="B284" s="69"/>
      <c r="C284" s="69"/>
      <c r="D284" s="69"/>
      <c r="E284" s="27"/>
      <c r="F284" s="130">
        <f>SUM(E278:E283)</f>
        <v>1207.3516666666667</v>
      </c>
    </row>
    <row r="285" spans="1:7" ht="11.25" customHeight="1" x14ac:dyDescent="0.2">
      <c r="G285" s="1"/>
    </row>
    <row r="286" spans="1:7" s="1" customFormat="1" x14ac:dyDescent="0.2">
      <c r="A286" s="114" t="s">
        <v>146</v>
      </c>
      <c r="B286" s="115"/>
      <c r="C286" s="115"/>
      <c r="D286" s="42"/>
      <c r="E286" s="116"/>
      <c r="F286" s="130">
        <f>+F284</f>
        <v>1207.3516666666667</v>
      </c>
    </row>
    <row r="287" spans="1:7" ht="11.25" customHeight="1" x14ac:dyDescent="0.2">
      <c r="G287" s="1"/>
    </row>
    <row r="288" spans="1:7" x14ac:dyDescent="0.2">
      <c r="A288" s="69" t="s">
        <v>147</v>
      </c>
      <c r="B288" s="69"/>
      <c r="C288" s="69"/>
      <c r="D288" s="27"/>
      <c r="E288" s="27"/>
      <c r="F288" s="85"/>
    </row>
    <row r="289" spans="1:7" ht="11.25" customHeight="1" x14ac:dyDescent="0.2"/>
    <row r="290" spans="1:7" x14ac:dyDescent="0.2">
      <c r="A290" s="71" t="s">
        <v>22</v>
      </c>
      <c r="B290" s="72" t="s">
        <v>23</v>
      </c>
      <c r="C290" s="72" t="s">
        <v>16</v>
      </c>
      <c r="D290" s="73" t="s">
        <v>24</v>
      </c>
      <c r="E290" s="73" t="s">
        <v>25</v>
      </c>
      <c r="F290" s="74" t="s">
        <v>26</v>
      </c>
    </row>
    <row r="291" spans="1:7" x14ac:dyDescent="0.2">
      <c r="A291" s="79" t="s">
        <v>148</v>
      </c>
      <c r="B291" s="163" t="s">
        <v>145</v>
      </c>
      <c r="C291" s="125">
        <v>2</v>
      </c>
      <c r="D291" s="148">
        <v>600</v>
      </c>
      <c r="E291" s="82">
        <f>+D291*C291</f>
        <v>1200</v>
      </c>
      <c r="F291" s="133"/>
    </row>
    <row r="292" spans="1:7" x14ac:dyDescent="0.2">
      <c r="A292" s="79" t="s">
        <v>149</v>
      </c>
      <c r="B292" s="163" t="s">
        <v>28</v>
      </c>
      <c r="C292" s="164">
        <v>60</v>
      </c>
      <c r="D292" s="165">
        <f>SUM(E291:E291)</f>
        <v>1200</v>
      </c>
      <c r="E292" s="165">
        <f>+D292/C292</f>
        <v>20</v>
      </c>
      <c r="F292" s="133"/>
    </row>
    <row r="293" spans="1:7" x14ac:dyDescent="0.2">
      <c r="A293" s="79" t="s">
        <v>150</v>
      </c>
      <c r="B293" s="163" t="s">
        <v>28</v>
      </c>
      <c r="C293" s="164">
        <v>1</v>
      </c>
      <c r="D293" s="148">
        <v>100</v>
      </c>
      <c r="E293" s="82">
        <f>C293*D293</f>
        <v>100</v>
      </c>
      <c r="F293" s="133"/>
    </row>
    <row r="294" spans="1:7" x14ac:dyDescent="0.2">
      <c r="A294" s="79" t="s">
        <v>150</v>
      </c>
      <c r="B294" s="163" t="s">
        <v>151</v>
      </c>
      <c r="C294" s="164">
        <v>2</v>
      </c>
      <c r="D294" s="165">
        <f>+E293</f>
        <v>100</v>
      </c>
      <c r="E294" s="165">
        <f>C294*D294</f>
        <v>200</v>
      </c>
      <c r="F294" s="133"/>
    </row>
    <row r="295" spans="1:7" x14ac:dyDescent="0.2">
      <c r="A295" s="166"/>
      <c r="B295" s="166"/>
      <c r="D295" s="89" t="s">
        <v>43</v>
      </c>
      <c r="E295" s="90">
        <f>E228</f>
        <v>9.0909090909090912E-2</v>
      </c>
      <c r="F295" s="167">
        <f>(E294+E292)*E295</f>
        <v>20</v>
      </c>
    </row>
    <row r="296" spans="1:7" s="169" customFormat="1" ht="11.25" customHeight="1" x14ac:dyDescent="0.2">
      <c r="A296" s="1"/>
      <c r="B296" s="1"/>
      <c r="C296" s="1"/>
      <c r="D296" s="2"/>
      <c r="E296" s="2"/>
      <c r="F296" s="2"/>
      <c r="G296" s="168"/>
    </row>
    <row r="297" spans="1:7" x14ac:dyDescent="0.2">
      <c r="A297" s="114" t="s">
        <v>152</v>
      </c>
      <c r="B297" s="115"/>
      <c r="C297" s="115"/>
      <c r="D297" s="42"/>
      <c r="E297" s="116"/>
      <c r="F297" s="130">
        <f>+F295</f>
        <v>20</v>
      </c>
    </row>
    <row r="298" spans="1:7" ht="11.25" customHeight="1" x14ac:dyDescent="0.2"/>
    <row r="299" spans="1:7" ht="17.25" customHeight="1" x14ac:dyDescent="0.2">
      <c r="A299" s="114" t="s">
        <v>153</v>
      </c>
      <c r="B299" s="127"/>
      <c r="C299" s="127"/>
      <c r="D299" s="128"/>
      <c r="E299" s="129"/>
      <c r="F299" s="105">
        <f>+F154+F190+F273+F286+F297</f>
        <v>2925.7393421087022</v>
      </c>
    </row>
    <row r="300" spans="1:7" ht="11.25" customHeight="1" x14ac:dyDescent="0.2"/>
    <row r="301" spans="1:7" x14ac:dyDescent="0.2">
      <c r="A301" s="28" t="s">
        <v>154</v>
      </c>
    </row>
    <row r="302" spans="1:7" ht="11.25" customHeight="1" x14ac:dyDescent="0.2"/>
    <row r="303" spans="1:7" x14ac:dyDescent="0.2">
      <c r="A303" s="71" t="s">
        <v>22</v>
      </c>
      <c r="B303" s="72" t="s">
        <v>23</v>
      </c>
      <c r="C303" s="72" t="s">
        <v>16</v>
      </c>
      <c r="D303" s="73" t="s">
        <v>24</v>
      </c>
      <c r="E303" s="73" t="s">
        <v>25</v>
      </c>
      <c r="F303" s="74" t="s">
        <v>26</v>
      </c>
    </row>
    <row r="304" spans="1:7" x14ac:dyDescent="0.2">
      <c r="A304" s="75" t="s">
        <v>155</v>
      </c>
      <c r="B304" s="76" t="s">
        <v>12</v>
      </c>
      <c r="C304" s="87">
        <f>'7.BDI'!C21*100</f>
        <v>24.27</v>
      </c>
      <c r="D304" s="78">
        <f>+F299</f>
        <v>2925.7393421087022</v>
      </c>
      <c r="E304" s="78">
        <f>C304*D304/100</f>
        <v>710.07693832978202</v>
      </c>
    </row>
    <row r="305" spans="1:7" x14ac:dyDescent="0.2">
      <c r="F305" s="130">
        <f>+E304</f>
        <v>710.07693832978202</v>
      </c>
    </row>
    <row r="306" spans="1:7" ht="11.25" customHeight="1" x14ac:dyDescent="0.2"/>
    <row r="307" spans="1:7" x14ac:dyDescent="0.2">
      <c r="A307" s="114" t="s">
        <v>156</v>
      </c>
      <c r="B307" s="127"/>
      <c r="C307" s="127"/>
      <c r="D307" s="128"/>
      <c r="E307" s="129"/>
      <c r="F307" s="105">
        <f>F305</f>
        <v>710.07693832978202</v>
      </c>
    </row>
    <row r="308" spans="1:7" x14ac:dyDescent="0.2">
      <c r="A308" s="69"/>
      <c r="B308" s="69"/>
      <c r="C308" s="69"/>
      <c r="D308" s="27"/>
      <c r="E308" s="27"/>
      <c r="F308" s="85"/>
    </row>
    <row r="309" spans="1:7" ht="11.25" customHeight="1" x14ac:dyDescent="0.2"/>
    <row r="310" spans="1:7" ht="24.75" customHeight="1" x14ac:dyDescent="0.2">
      <c r="A310" s="114" t="s">
        <v>157</v>
      </c>
      <c r="B310" s="127"/>
      <c r="C310" s="127"/>
      <c r="D310" s="128"/>
      <c r="E310" s="129"/>
      <c r="F310" s="105">
        <f>F299+F307</f>
        <v>3635.8162804384842</v>
      </c>
    </row>
    <row r="311" spans="1:7" ht="12.6" customHeight="1" x14ac:dyDescent="0.2">
      <c r="A311" s="170"/>
      <c r="B311" s="170"/>
      <c r="C311" s="170"/>
      <c r="D311" s="171"/>
      <c r="E311" s="171"/>
      <c r="F311" s="171"/>
    </row>
    <row r="312" spans="1:7" ht="14.25" x14ac:dyDescent="0.2">
      <c r="A312" s="13"/>
      <c r="B312" s="13"/>
      <c r="C312" s="13"/>
      <c r="D312" s="12"/>
      <c r="E312" s="12"/>
    </row>
    <row r="313" spans="1:7" ht="16.149999999999999" hidden="1" customHeight="1" x14ac:dyDescent="0.2">
      <c r="A313" s="172" t="s">
        <v>158</v>
      </c>
      <c r="B313" s="173"/>
      <c r="C313" s="173"/>
      <c r="D313" s="174">
        <f>C282</f>
        <v>16</v>
      </c>
      <c r="E313" s="175" t="s">
        <v>159</v>
      </c>
    </row>
    <row r="314" spans="1:7" hidden="1" x14ac:dyDescent="0.2"/>
    <row r="315" spans="1:7" ht="25.5" hidden="1" customHeight="1" x14ac:dyDescent="0.2">
      <c r="A315" s="114" t="s">
        <v>160</v>
      </c>
      <c r="B315" s="115"/>
      <c r="C315" s="115"/>
      <c r="D315" s="42"/>
      <c r="E315" s="176" t="s">
        <v>161</v>
      </c>
      <c r="F315" s="177"/>
    </row>
    <row r="316" spans="1:7" ht="12.6" customHeight="1" x14ac:dyDescent="0.2">
      <c r="A316" s="69"/>
      <c r="B316" s="69"/>
      <c r="C316" s="69"/>
      <c r="D316" s="27"/>
      <c r="E316" s="27"/>
      <c r="F316" s="178"/>
    </row>
    <row r="317" spans="1:7" s="5" customFormat="1" ht="13.9" customHeight="1" x14ac:dyDescent="0.2">
      <c r="A317" s="171"/>
      <c r="B317" s="2"/>
      <c r="C317" s="2"/>
      <c r="D317" s="2"/>
      <c r="E317" s="2"/>
      <c r="F317" s="102"/>
      <c r="G317" s="7"/>
    </row>
    <row r="318" spans="1:7" ht="9.75" customHeight="1" x14ac:dyDescent="0.2"/>
    <row r="319" spans="1:7" ht="9.75" customHeight="1" x14ac:dyDescent="0.2"/>
    <row r="349" ht="9" customHeight="1" x14ac:dyDescent="0.2"/>
  </sheetData>
  <mergeCells count="7">
    <mergeCell ref="A43:D43"/>
    <mergeCell ref="A50:D50"/>
    <mergeCell ref="A13:F13"/>
    <mergeCell ref="A14:F14"/>
    <mergeCell ref="A16:F16"/>
    <mergeCell ref="A27:C27"/>
    <mergeCell ref="A42:E42"/>
  </mergeCells>
  <hyperlinks>
    <hyperlink ref="A196" location="AbaDeprec" display="3.1.1. Depreciação" xr:uid="{00000000-0004-0000-0100-000000000000}"/>
    <hyperlink ref="A212" location="AbaRemun" display="3.1.2. Remuneração do Capital" xr:uid="{00000000-0004-0000-0100-000001000000}"/>
  </hyperlinks>
  <pageMargins left="0.905555555555556" right="0.51180555555555496" top="0.74791666666666701" bottom="0.74791666666666701" header="0.51180555555555496" footer="0.31527777777777799"/>
  <pageSetup paperSize="9" scale="75" firstPageNumber="0" fitToHeight="4" orientation="portrait" horizontalDpi="300" verticalDpi="300" r:id="rId1"/>
  <headerFooter>
    <oddFooter>&amp;R&amp;P de &amp;N</oddFooter>
  </headerFooter>
  <rowBreaks count="2" manualBreakCount="2">
    <brk id="126" max="16383" man="1"/>
    <brk id="21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4"/>
  <sheetViews>
    <sheetView topLeftCell="A11" zoomScaleSheetLayoutView="100" workbookViewId="0"/>
  </sheetViews>
  <sheetFormatPr defaultColWidth="9.140625" defaultRowHeight="12.75" x14ac:dyDescent="0.2"/>
  <cols>
    <col min="1" max="1" width="44.5703125" style="380" customWidth="1"/>
    <col min="2" max="2" width="16" style="380" bestFit="1" customWidth="1"/>
    <col min="3" max="3" width="11.85546875" style="380" customWidth="1"/>
    <col min="4" max="4" width="14.7109375" style="381" customWidth="1"/>
    <col min="5" max="5" width="15.42578125" style="381" customWidth="1"/>
    <col min="6" max="6" width="13.28515625" style="381" customWidth="1"/>
    <col min="7" max="7" width="28.140625" style="381" customWidth="1"/>
    <col min="8" max="8" width="9.140625" style="380"/>
    <col min="9" max="9" width="14.5703125" style="380" customWidth="1"/>
    <col min="10" max="10" width="13.42578125" style="380" customWidth="1"/>
    <col min="11" max="16384" width="9.140625" style="380"/>
  </cols>
  <sheetData>
    <row r="1" spans="1:7" ht="15.75" hidden="1" x14ac:dyDescent="0.2">
      <c r="A1" s="379" t="s">
        <v>0</v>
      </c>
    </row>
    <row r="2" spans="1:7" ht="15.75" hidden="1" x14ac:dyDescent="0.2">
      <c r="A2" s="382" t="s">
        <v>1</v>
      </c>
    </row>
    <row r="3" spans="1:7" ht="15.75" hidden="1" x14ac:dyDescent="0.2">
      <c r="A3" s="382" t="s">
        <v>2</v>
      </c>
    </row>
    <row r="4" spans="1:7" ht="15.75" hidden="1" x14ac:dyDescent="0.2">
      <c r="A4" s="382" t="s">
        <v>3</v>
      </c>
    </row>
    <row r="5" spans="1:7" s="383" customFormat="1" ht="15.6" hidden="1" customHeight="1" x14ac:dyDescent="0.2">
      <c r="A5" s="379" t="s">
        <v>4</v>
      </c>
      <c r="C5" s="384"/>
      <c r="D5" s="384"/>
      <c r="E5" s="384"/>
      <c r="F5" s="384"/>
      <c r="G5" s="385"/>
    </row>
    <row r="6" spans="1:7" s="383" customFormat="1" ht="15.6" hidden="1" customHeight="1" x14ac:dyDescent="0.2">
      <c r="A6" s="386" t="s">
        <v>5</v>
      </c>
      <c r="B6" s="384"/>
      <c r="C6" s="384"/>
      <c r="D6" s="384"/>
      <c r="E6" s="384"/>
      <c r="F6" s="384"/>
      <c r="G6" s="385"/>
    </row>
    <row r="7" spans="1:7" s="383" customFormat="1" ht="15.6" hidden="1" customHeight="1" x14ac:dyDescent="0.2">
      <c r="A7" s="387"/>
      <c r="B7" s="384"/>
      <c r="C7" s="384"/>
      <c r="D7" s="384"/>
      <c r="E7" s="384"/>
      <c r="F7" s="384"/>
      <c r="G7" s="385"/>
    </row>
    <row r="8" spans="1:7" s="383" customFormat="1" ht="15.6" hidden="1" customHeight="1" x14ac:dyDescent="0.2">
      <c r="A8" s="388" t="s">
        <v>6</v>
      </c>
      <c r="B8" s="384"/>
      <c r="C8" s="384"/>
      <c r="D8" s="384"/>
      <c r="E8" s="384"/>
      <c r="F8" s="384"/>
      <c r="G8" s="385"/>
    </row>
    <row r="9" spans="1:7" s="383" customFormat="1" ht="15.6" hidden="1" customHeight="1" x14ac:dyDescent="0.2">
      <c r="A9" s="382" t="s">
        <v>7</v>
      </c>
      <c r="B9" s="384"/>
      <c r="C9" s="384"/>
      <c r="D9" s="384"/>
      <c r="E9" s="384"/>
      <c r="F9" s="384"/>
      <c r="G9" s="385"/>
    </row>
    <row r="10" spans="1:7" s="383" customFormat="1" ht="16.5" hidden="1" customHeight="1" x14ac:dyDescent="0.2">
      <c r="A10" s="380"/>
      <c r="B10" s="389"/>
      <c r="C10" s="389"/>
      <c r="D10" s="385"/>
      <c r="E10" s="385"/>
      <c r="F10" s="385"/>
      <c r="G10" s="385"/>
    </row>
    <row r="11" spans="1:7" s="383" customFormat="1" ht="16.5" customHeight="1" thickBot="1" x14ac:dyDescent="0.25">
      <c r="A11" s="390" t="s">
        <v>399</v>
      </c>
      <c r="B11" s="389"/>
      <c r="C11" s="389"/>
      <c r="D11" s="385"/>
      <c r="E11" s="385"/>
      <c r="F11" s="385"/>
      <c r="G11" s="385"/>
    </row>
    <row r="12" spans="1:7" s="392" customFormat="1" ht="18" x14ac:dyDescent="0.2">
      <c r="A12" s="583" t="s">
        <v>454</v>
      </c>
      <c r="B12" s="584"/>
      <c r="C12" s="584"/>
      <c r="D12" s="584"/>
      <c r="E12" s="584"/>
      <c r="F12" s="585"/>
      <c r="G12" s="391"/>
    </row>
    <row r="13" spans="1:7" s="392" customFormat="1" ht="21.75" customHeight="1" x14ac:dyDescent="0.2">
      <c r="A13" s="586" t="s">
        <v>8</v>
      </c>
      <c r="B13" s="587"/>
      <c r="C13" s="587"/>
      <c r="D13" s="587"/>
      <c r="E13" s="587"/>
      <c r="F13" s="588"/>
      <c r="G13" s="391"/>
    </row>
    <row r="14" spans="1:7" s="383" customFormat="1" ht="10.9" customHeight="1" thickBot="1" x14ac:dyDescent="0.25">
      <c r="A14" s="393"/>
      <c r="B14" s="394"/>
      <c r="C14" s="394"/>
      <c r="D14" s="395"/>
      <c r="E14" s="395"/>
      <c r="F14" s="396"/>
      <c r="G14" s="385"/>
    </row>
    <row r="15" spans="1:7" s="383" customFormat="1" ht="15.75" customHeight="1" thickBot="1" x14ac:dyDescent="0.25">
      <c r="A15" s="589" t="s">
        <v>9</v>
      </c>
      <c r="B15" s="590"/>
      <c r="C15" s="590"/>
      <c r="D15" s="590"/>
      <c r="E15" s="590"/>
      <c r="F15" s="591"/>
      <c r="G15" s="385"/>
    </row>
    <row r="16" spans="1:7" s="383" customFormat="1" ht="15.75" customHeight="1" x14ac:dyDescent="0.2">
      <c r="A16" s="397" t="s">
        <v>10</v>
      </c>
      <c r="B16" s="398"/>
      <c r="C16" s="398"/>
      <c r="D16" s="399"/>
      <c r="E16" s="400" t="s">
        <v>11</v>
      </c>
      <c r="F16" s="401" t="s">
        <v>12</v>
      </c>
      <c r="G16" s="385"/>
    </row>
    <row r="17" spans="1:7" s="408" customFormat="1" ht="15.75" customHeight="1" x14ac:dyDescent="0.2">
      <c r="A17" s="402" t="str">
        <f>A42</f>
        <v>1. Mão-de-obra</v>
      </c>
      <c r="B17" s="403"/>
      <c r="C17" s="404"/>
      <c r="D17" s="404"/>
      <c r="E17" s="405">
        <f>+F78</f>
        <v>1640.3064499999998</v>
      </c>
      <c r="F17" s="406">
        <f t="shared" ref="F17:F24" si="0">IFERROR(E17/$E$25,0)</f>
        <v>0.39154082692764786</v>
      </c>
      <c r="G17" s="407"/>
    </row>
    <row r="18" spans="1:7" s="383" customFormat="1" ht="15.75" customHeight="1" x14ac:dyDescent="0.2">
      <c r="A18" s="409" t="str">
        <f>A44</f>
        <v xml:space="preserve">1.1. Assistente administrativo </v>
      </c>
      <c r="B18" s="410"/>
      <c r="C18" s="411"/>
      <c r="D18" s="411"/>
      <c r="E18" s="412">
        <f>F55</f>
        <v>1435.5429299999998</v>
      </c>
      <c r="F18" s="413">
        <f t="shared" si="0"/>
        <v>0.34266381498550985</v>
      </c>
      <c r="G18" s="385"/>
    </row>
    <row r="19" spans="1:7" s="383" customFormat="1" ht="15.75" customHeight="1" x14ac:dyDescent="0.2">
      <c r="A19" s="409" t="str">
        <f>A58</f>
        <v>1.2. Vale Transporte</v>
      </c>
      <c r="B19" s="410"/>
      <c r="C19" s="411"/>
      <c r="D19" s="411"/>
      <c r="E19" s="412">
        <f>F63</f>
        <v>35.501520000000006</v>
      </c>
      <c r="F19" s="413">
        <f t="shared" si="0"/>
        <v>8.4742058400053433E-3</v>
      </c>
      <c r="G19" s="385"/>
    </row>
    <row r="20" spans="1:7" s="383" customFormat="1" ht="15.75" customHeight="1" x14ac:dyDescent="0.2">
      <c r="A20" s="409" t="str">
        <f>A65</f>
        <v>1.3. Auxílio Alimentação (mensal)</v>
      </c>
      <c r="B20" s="410"/>
      <c r="C20" s="411"/>
      <c r="D20" s="411"/>
      <c r="E20" s="412">
        <f>F70</f>
        <v>162.16200000000001</v>
      </c>
      <c r="F20" s="413">
        <f t="shared" si="0"/>
        <v>3.8708037498871778E-2</v>
      </c>
      <c r="G20" s="385"/>
    </row>
    <row r="21" spans="1:7" s="383" customFormat="1" ht="15.75" customHeight="1" x14ac:dyDescent="0.2">
      <c r="A21" s="409" t="str">
        <f>A72</f>
        <v xml:space="preserve">1.4. Plano de Benefício Social  </v>
      </c>
      <c r="B21" s="410"/>
      <c r="C21" s="411"/>
      <c r="D21" s="411"/>
      <c r="E21" s="412">
        <f>F76</f>
        <v>7.1</v>
      </c>
      <c r="F21" s="413">
        <f t="shared" si="0"/>
        <v>1.6947686032608724E-3</v>
      </c>
      <c r="G21" s="385"/>
    </row>
    <row r="22" spans="1:7" s="408" customFormat="1" ht="15.75" customHeight="1" x14ac:dyDescent="0.2">
      <c r="A22" s="592" t="str">
        <f>A80</f>
        <v>2. Uniformes e Equipamentos de Proteção Individual</v>
      </c>
      <c r="B22" s="593"/>
      <c r="C22" s="593"/>
      <c r="D22" s="404"/>
      <c r="E22" s="405">
        <f>+F110</f>
        <v>30.871212121212118</v>
      </c>
      <c r="F22" s="406">
        <f t="shared" si="0"/>
        <v>7.3689522602305314E-3</v>
      </c>
      <c r="G22" s="407"/>
    </row>
    <row r="23" spans="1:7" s="408" customFormat="1" ht="15.75" customHeight="1" x14ac:dyDescent="0.2">
      <c r="A23" s="414" t="str">
        <f>A113</f>
        <v xml:space="preserve">3. Administração Local </v>
      </c>
      <c r="B23" s="415"/>
      <c r="C23" s="404"/>
      <c r="D23" s="404"/>
      <c r="E23" s="405">
        <f>+F122</f>
        <v>1700</v>
      </c>
      <c r="F23" s="406">
        <f t="shared" si="0"/>
        <v>0.40578966556950469</v>
      </c>
      <c r="G23" s="407"/>
    </row>
    <row r="24" spans="1:7" s="408" customFormat="1" ht="15.75" customHeight="1" thickBot="1" x14ac:dyDescent="0.25">
      <c r="A24" s="414" t="str">
        <f>A126</f>
        <v>4. Benefícios e Despesas Indiretas - BDI</v>
      </c>
      <c r="B24" s="415"/>
      <c r="C24" s="404"/>
      <c r="D24" s="404"/>
      <c r="E24" s="416">
        <f>+F132</f>
        <v>818.18481859681822</v>
      </c>
      <c r="F24" s="406">
        <f t="shared" si="0"/>
        <v>0.19530055524261689</v>
      </c>
      <c r="G24" s="407"/>
    </row>
    <row r="25" spans="1:7" s="383" customFormat="1" ht="15.75" customHeight="1" thickBot="1" x14ac:dyDescent="0.25">
      <c r="A25" s="417" t="s">
        <v>13</v>
      </c>
      <c r="B25" s="418"/>
      <c r="C25" s="419"/>
      <c r="D25" s="419"/>
      <c r="E25" s="420">
        <f>E17+E22+E23+E24</f>
        <v>4189.3624807180304</v>
      </c>
      <c r="F25" s="421">
        <f>F17+F22+F23+F24</f>
        <v>1</v>
      </c>
      <c r="G25" s="385"/>
    </row>
    <row r="27" spans="1:7" ht="13.5" thickBot="1" x14ac:dyDescent="0.25"/>
    <row r="28" spans="1:7" s="383" customFormat="1" ht="15" customHeight="1" thickBot="1" x14ac:dyDescent="0.25">
      <c r="A28" s="589" t="s">
        <v>14</v>
      </c>
      <c r="B28" s="590"/>
      <c r="C28" s="590"/>
      <c r="D28" s="590"/>
      <c r="E28" s="591"/>
      <c r="F28" s="381"/>
      <c r="G28" s="385"/>
    </row>
    <row r="29" spans="1:7" s="383" customFormat="1" ht="15" customHeight="1" thickBot="1" x14ac:dyDescent="0.25">
      <c r="A29" s="594" t="s">
        <v>15</v>
      </c>
      <c r="B29" s="595"/>
      <c r="C29" s="595"/>
      <c r="D29" s="596"/>
      <c r="E29" s="422" t="s">
        <v>16</v>
      </c>
      <c r="F29" s="381"/>
      <c r="G29" s="385"/>
    </row>
    <row r="30" spans="1:7" s="383" customFormat="1" ht="15" customHeight="1" x14ac:dyDescent="0.2">
      <c r="A30" s="423" t="str">
        <f>+A44</f>
        <v xml:space="preserve">1.1. Assistente administrativo </v>
      </c>
      <c r="B30" s="424"/>
      <c r="C30" s="424"/>
      <c r="D30" s="425"/>
      <c r="E30" s="426">
        <f>C54</f>
        <v>1</v>
      </c>
      <c r="F30" s="381"/>
      <c r="G30" s="385"/>
    </row>
    <row r="31" spans="1:7" s="383" customFormat="1" ht="15" hidden="1" customHeight="1" x14ac:dyDescent="0.2">
      <c r="A31" s="427"/>
      <c r="B31" s="428"/>
      <c r="C31" s="428"/>
      <c r="D31" s="429"/>
      <c r="E31" s="430"/>
      <c r="F31" s="381"/>
      <c r="G31" s="385"/>
    </row>
    <row r="32" spans="1:7" s="383" customFormat="1" ht="15" hidden="1" customHeight="1" x14ac:dyDescent="0.2">
      <c r="A32" s="427"/>
      <c r="B32" s="428"/>
      <c r="C32" s="428"/>
      <c r="D32" s="429"/>
      <c r="E32" s="430"/>
      <c r="F32" s="381"/>
      <c r="G32" s="385"/>
    </row>
    <row r="33" spans="1:7" s="383" customFormat="1" ht="15" hidden="1" customHeight="1" x14ac:dyDescent="0.2">
      <c r="A33" s="427"/>
      <c r="B33" s="428"/>
      <c r="C33" s="428"/>
      <c r="D33" s="429"/>
      <c r="E33" s="430"/>
      <c r="F33" s="381"/>
      <c r="G33" s="385"/>
    </row>
    <row r="34" spans="1:7" s="383" customFormat="1" ht="15" customHeight="1" thickBot="1" x14ac:dyDescent="0.25">
      <c r="A34" s="431" t="s">
        <v>17</v>
      </c>
      <c r="B34" s="432"/>
      <c r="C34" s="432"/>
      <c r="D34" s="433"/>
      <c r="E34" s="434">
        <f>SUM(E30:E33)</f>
        <v>1</v>
      </c>
      <c r="F34" s="381"/>
      <c r="G34" s="385"/>
    </row>
    <row r="35" spans="1:7" s="383" customFormat="1" ht="15" customHeight="1" x14ac:dyDescent="0.2">
      <c r="A35" s="435"/>
      <c r="B35" s="436"/>
      <c r="C35" s="437"/>
      <c r="D35" s="437"/>
      <c r="E35" s="438"/>
      <c r="F35" s="381"/>
      <c r="G35" s="385"/>
    </row>
    <row r="36" spans="1:7" s="383" customFormat="1" ht="15" hidden="1" customHeight="1" x14ac:dyDescent="0.2">
      <c r="A36" s="581" t="s">
        <v>18</v>
      </c>
      <c r="B36" s="582"/>
      <c r="C36" s="582"/>
      <c r="D36" s="582"/>
      <c r="E36" s="422" t="s">
        <v>16</v>
      </c>
      <c r="F36" s="380"/>
      <c r="G36" s="385"/>
    </row>
    <row r="37" spans="1:7" s="383" customFormat="1" ht="15" hidden="1" customHeight="1" thickBot="1" x14ac:dyDescent="0.25">
      <c r="A37" s="439" t="e">
        <f>+#REF!</f>
        <v>#REF!</v>
      </c>
      <c r="B37" s="440"/>
      <c r="C37" s="440"/>
      <c r="D37" s="441"/>
      <c r="E37" s="442" t="e">
        <f>#REF!</f>
        <v>#REF!</v>
      </c>
      <c r="F37" s="380"/>
      <c r="G37" s="385"/>
    </row>
    <row r="38" spans="1:7" s="383" customFormat="1" ht="15" hidden="1" customHeight="1" x14ac:dyDescent="0.2">
      <c r="A38" s="437"/>
      <c r="B38" s="437"/>
      <c r="C38" s="437"/>
      <c r="D38" s="387"/>
      <c r="E38" s="443"/>
      <c r="F38" s="380"/>
      <c r="G38" s="385"/>
    </row>
    <row r="39" spans="1:7" s="383" customFormat="1" ht="13.5" thickBot="1" x14ac:dyDescent="0.25">
      <c r="A39" s="437"/>
      <c r="B39" s="437"/>
      <c r="C39" s="437"/>
      <c r="D39" s="387"/>
      <c r="E39" s="444"/>
      <c r="F39" s="380"/>
      <c r="G39" s="385"/>
    </row>
    <row r="40" spans="1:7" s="408" customFormat="1" ht="15.75" customHeight="1" thickBot="1" x14ac:dyDescent="0.25">
      <c r="A40" s="445" t="s">
        <v>19</v>
      </c>
      <c r="B40" s="446">
        <f>'9 Horarios'!G46</f>
        <v>0.45454545454545453</v>
      </c>
      <c r="C40" s="447"/>
      <c r="D40" s="448"/>
      <c r="E40" s="449"/>
      <c r="G40" s="407"/>
    </row>
    <row r="41" spans="1:7" s="383" customFormat="1" ht="15.75" customHeight="1" x14ac:dyDescent="0.2">
      <c r="A41" s="437"/>
      <c r="B41" s="437"/>
      <c r="C41" s="437"/>
      <c r="D41" s="387"/>
      <c r="E41" s="444"/>
      <c r="F41" s="380"/>
      <c r="G41" s="385"/>
    </row>
    <row r="42" spans="1:7" ht="13.15" customHeight="1" x14ac:dyDescent="0.2">
      <c r="A42" s="408" t="s">
        <v>20</v>
      </c>
    </row>
    <row r="43" spans="1:7" ht="11.25" customHeight="1" x14ac:dyDescent="0.2"/>
    <row r="44" spans="1:7" ht="13.9" customHeight="1" thickBot="1" x14ac:dyDescent="0.25">
      <c r="A44" s="408" t="s">
        <v>400</v>
      </c>
    </row>
    <row r="45" spans="1:7" ht="13.9" customHeight="1" thickBot="1" x14ac:dyDescent="0.25">
      <c r="A45" s="519" t="s">
        <v>22</v>
      </c>
      <c r="B45" s="520" t="s">
        <v>23</v>
      </c>
      <c r="C45" s="520" t="s">
        <v>16</v>
      </c>
      <c r="D45" s="521" t="s">
        <v>24</v>
      </c>
      <c r="E45" s="521" t="s">
        <v>25</v>
      </c>
      <c r="F45" s="522" t="s">
        <v>401</v>
      </c>
    </row>
    <row r="46" spans="1:7" ht="13.15" customHeight="1" x14ac:dyDescent="0.2">
      <c r="A46" s="454" t="s">
        <v>27</v>
      </c>
      <c r="B46" s="455" t="s">
        <v>28</v>
      </c>
      <c r="C46" s="455">
        <v>1</v>
      </c>
      <c r="D46" s="456">
        <v>1548.59</v>
      </c>
      <c r="E46" s="457">
        <f>C46*D46</f>
        <v>1548.59</v>
      </c>
    </row>
    <row r="47" spans="1:7" hidden="1" x14ac:dyDescent="0.2">
      <c r="A47" s="458" t="s">
        <v>29</v>
      </c>
      <c r="B47" s="459" t="s">
        <v>30</v>
      </c>
      <c r="C47" s="460"/>
      <c r="D47" s="461">
        <f>D46/220*2</f>
        <v>14.078090909090909</v>
      </c>
      <c r="E47" s="461">
        <f>C47*D47</f>
        <v>0</v>
      </c>
      <c r="G47" s="381" t="s">
        <v>31</v>
      </c>
    </row>
    <row r="48" spans="1:7" ht="13.15" hidden="1" customHeight="1" x14ac:dyDescent="0.2">
      <c r="A48" s="458" t="s">
        <v>32</v>
      </c>
      <c r="B48" s="459" t="s">
        <v>30</v>
      </c>
      <c r="C48" s="460"/>
      <c r="D48" s="461">
        <f>D46/220*1.5</f>
        <v>10.558568181818181</v>
      </c>
      <c r="E48" s="461">
        <f>C48*D48</f>
        <v>0</v>
      </c>
      <c r="G48" s="381" t="s">
        <v>33</v>
      </c>
    </row>
    <row r="49" spans="1:8" ht="13.15" hidden="1" customHeight="1" x14ac:dyDescent="0.2">
      <c r="A49" s="458" t="s">
        <v>34</v>
      </c>
      <c r="B49" s="459" t="s">
        <v>35</v>
      </c>
      <c r="D49" s="461">
        <f>63/302*(SUM(E47:E48))</f>
        <v>0</v>
      </c>
      <c r="E49" s="461">
        <f>D49</f>
        <v>0</v>
      </c>
      <c r="G49" s="381" t="s">
        <v>36</v>
      </c>
    </row>
    <row r="50" spans="1:8" x14ac:dyDescent="0.2">
      <c r="A50" s="458" t="s">
        <v>37</v>
      </c>
      <c r="B50" s="459" t="s">
        <v>12</v>
      </c>
      <c r="C50" s="459">
        <v>20</v>
      </c>
      <c r="D50" s="462">
        <f>E46</f>
        <v>1548.59</v>
      </c>
      <c r="E50" s="461">
        <f>C50*D50/100</f>
        <v>309.71800000000002</v>
      </c>
    </row>
    <row r="51" spans="1:8" x14ac:dyDescent="0.2">
      <c r="A51" s="463" t="s">
        <v>38</v>
      </c>
      <c r="B51" s="464"/>
      <c r="C51" s="464"/>
      <c r="D51" s="465"/>
      <c r="E51" s="466">
        <f>SUM(E46:E50)</f>
        <v>1858.308</v>
      </c>
    </row>
    <row r="52" spans="1:8" x14ac:dyDescent="0.2">
      <c r="A52" s="458" t="s">
        <v>39</v>
      </c>
      <c r="B52" s="459" t="s">
        <v>12</v>
      </c>
      <c r="C52" s="467">
        <f>'5.Encargos Sociais'!C38*100</f>
        <v>69.95</v>
      </c>
      <c r="D52" s="461">
        <f>E51</f>
        <v>1858.308</v>
      </c>
      <c r="E52" s="461">
        <f>D52*C52/100</f>
        <v>1299.886446</v>
      </c>
    </row>
    <row r="53" spans="1:8" x14ac:dyDescent="0.2">
      <c r="A53" s="463" t="s">
        <v>402</v>
      </c>
      <c r="B53" s="464"/>
      <c r="C53" s="464"/>
      <c r="D53" s="465"/>
      <c r="E53" s="466">
        <f>E51+E52</f>
        <v>3158.194446</v>
      </c>
    </row>
    <row r="54" spans="1:8" ht="13.5" thickBot="1" x14ac:dyDescent="0.25">
      <c r="A54" s="458" t="s">
        <v>41</v>
      </c>
      <c r="B54" s="459" t="s">
        <v>42</v>
      </c>
      <c r="C54" s="468">
        <v>1</v>
      </c>
      <c r="D54" s="461">
        <f>E53</f>
        <v>3158.194446</v>
      </c>
      <c r="E54" s="461">
        <f>C54*D54</f>
        <v>3158.194446</v>
      </c>
      <c r="G54" s="385"/>
    </row>
    <row r="55" spans="1:8" ht="13.9" customHeight="1" thickBot="1" x14ac:dyDescent="0.25">
      <c r="A55" s="380" t="s">
        <v>429</v>
      </c>
      <c r="D55" s="469" t="s">
        <v>43</v>
      </c>
      <c r="E55" s="470">
        <f>$B$40</f>
        <v>0.45454545454545453</v>
      </c>
      <c r="F55" s="523">
        <f>E54*E55</f>
        <v>1435.5429299999998</v>
      </c>
      <c r="G55" s="385"/>
      <c r="H55" s="472"/>
    </row>
    <row r="56" spans="1:8" ht="11.25" customHeight="1" x14ac:dyDescent="0.2"/>
    <row r="57" spans="1:8" ht="11.25" customHeight="1" x14ac:dyDescent="0.2">
      <c r="G57" s="380"/>
    </row>
    <row r="58" spans="1:8" ht="13.5" thickBot="1" x14ac:dyDescent="0.25">
      <c r="A58" s="408" t="s">
        <v>403</v>
      </c>
      <c r="B58" s="473"/>
      <c r="D58" s="380"/>
      <c r="E58" s="472"/>
      <c r="G58" s="380"/>
    </row>
    <row r="59" spans="1:8" ht="13.5" thickBot="1" x14ac:dyDescent="0.25">
      <c r="A59" s="519" t="s">
        <v>22</v>
      </c>
      <c r="B59" s="520" t="s">
        <v>23</v>
      </c>
      <c r="C59" s="520" t="s">
        <v>16</v>
      </c>
      <c r="D59" s="521" t="s">
        <v>24</v>
      </c>
      <c r="E59" s="521" t="s">
        <v>25</v>
      </c>
      <c r="F59" s="522" t="s">
        <v>401</v>
      </c>
      <c r="G59" s="380"/>
    </row>
    <row r="60" spans="1:8" x14ac:dyDescent="0.2">
      <c r="A60" s="458" t="s">
        <v>58</v>
      </c>
      <c r="B60" s="459" t="s">
        <v>35</v>
      </c>
      <c r="C60" s="474">
        <v>1</v>
      </c>
      <c r="D60" s="475">
        <v>3.5</v>
      </c>
      <c r="E60" s="461"/>
      <c r="G60" s="380"/>
    </row>
    <row r="61" spans="1:8" x14ac:dyDescent="0.2">
      <c r="A61" s="458" t="s">
        <v>59</v>
      </c>
      <c r="B61" s="459" t="s">
        <v>60</v>
      </c>
      <c r="C61" s="476">
        <v>21</v>
      </c>
      <c r="D61" s="461"/>
      <c r="E61" s="461"/>
      <c r="G61" s="380"/>
    </row>
    <row r="62" spans="1:8" ht="13.5" thickBot="1" x14ac:dyDescent="0.25">
      <c r="A62" s="458" t="s">
        <v>404</v>
      </c>
      <c r="B62" s="459" t="s">
        <v>62</v>
      </c>
      <c r="C62" s="477">
        <f>C61*E34*2</f>
        <v>42</v>
      </c>
      <c r="D62" s="315">
        <f>D60-(E51/42*0.06)</f>
        <v>0.84527428571428587</v>
      </c>
      <c r="E62" s="461">
        <f>IFERROR(C62*D62,"-")</f>
        <v>35.501520000000006</v>
      </c>
      <c r="G62" s="380"/>
    </row>
    <row r="63" spans="1:8" ht="13.5" thickBot="1" x14ac:dyDescent="0.25">
      <c r="F63" s="524">
        <f>SUM(E62:E62)</f>
        <v>35.501520000000006</v>
      </c>
      <c r="G63" s="380"/>
    </row>
    <row r="64" spans="1:8" ht="11.25" customHeight="1" x14ac:dyDescent="0.2">
      <c r="G64" s="380"/>
    </row>
    <row r="65" spans="1:7" ht="13.5" thickBot="1" x14ac:dyDescent="0.25">
      <c r="A65" s="478" t="s">
        <v>405</v>
      </c>
      <c r="F65" s="479"/>
      <c r="G65" s="380"/>
    </row>
    <row r="66" spans="1:7" ht="13.5" thickBot="1" x14ac:dyDescent="0.25">
      <c r="A66" s="519" t="s">
        <v>22</v>
      </c>
      <c r="B66" s="520" t="s">
        <v>23</v>
      </c>
      <c r="C66" s="520" t="s">
        <v>16</v>
      </c>
      <c r="D66" s="521" t="s">
        <v>24</v>
      </c>
      <c r="E66" s="521" t="s">
        <v>25</v>
      </c>
      <c r="F66" s="522" t="s">
        <v>401</v>
      </c>
      <c r="G66" s="380"/>
    </row>
    <row r="67" spans="1:7" ht="13.5" thickBot="1" x14ac:dyDescent="0.25">
      <c r="A67" s="458" t="str">
        <f>+A62</f>
        <v xml:space="preserve">Assistente </v>
      </c>
      <c r="B67" s="459" t="s">
        <v>63</v>
      </c>
      <c r="C67" s="480">
        <v>11</v>
      </c>
      <c r="D67" s="481">
        <f>18.2*0.81</f>
        <v>14.742000000000001</v>
      </c>
      <c r="E67" s="482">
        <f>C67*D67</f>
        <v>162.16200000000001</v>
      </c>
      <c r="F67" s="479"/>
      <c r="G67" s="380"/>
    </row>
    <row r="68" spans="1:7" ht="13.5" hidden="1" thickBot="1" x14ac:dyDescent="0.25">
      <c r="A68" s="458"/>
      <c r="B68" s="459"/>
      <c r="C68" s="480"/>
      <c r="D68" s="481"/>
      <c r="E68" s="482">
        <f>C68*D68</f>
        <v>0</v>
      </c>
      <c r="F68" s="479"/>
      <c r="G68" s="380"/>
    </row>
    <row r="69" spans="1:7" ht="13.5" hidden="1" thickBot="1" x14ac:dyDescent="0.25">
      <c r="A69" s="458"/>
      <c r="B69" s="459"/>
      <c r="C69" s="480"/>
      <c r="D69" s="481"/>
      <c r="E69" s="482">
        <f>C69*D69</f>
        <v>0</v>
      </c>
      <c r="F69" s="479"/>
      <c r="G69" s="380"/>
    </row>
    <row r="70" spans="1:7" ht="13.5" thickBot="1" x14ac:dyDescent="0.25">
      <c r="F70" s="524">
        <f>SUM(E67:E69)</f>
        <v>162.16200000000001</v>
      </c>
      <c r="G70" s="380"/>
    </row>
    <row r="71" spans="1:7" x14ac:dyDescent="0.2">
      <c r="G71" s="380"/>
    </row>
    <row r="72" spans="1:7" ht="13.5" thickBot="1" x14ac:dyDescent="0.25">
      <c r="A72" s="380" t="s">
        <v>406</v>
      </c>
      <c r="F72" s="479"/>
      <c r="G72" s="380"/>
    </row>
    <row r="73" spans="1:7" ht="13.5" thickBot="1" x14ac:dyDescent="0.25">
      <c r="A73" s="519" t="s">
        <v>22</v>
      </c>
      <c r="B73" s="520" t="s">
        <v>23</v>
      </c>
      <c r="C73" s="520" t="s">
        <v>16</v>
      </c>
      <c r="D73" s="521" t="s">
        <v>24</v>
      </c>
      <c r="E73" s="521" t="s">
        <v>25</v>
      </c>
      <c r="F73" s="522" t="s">
        <v>401</v>
      </c>
      <c r="G73" s="380"/>
    </row>
    <row r="74" spans="1:7" ht="13.5" thickBot="1" x14ac:dyDescent="0.25">
      <c r="A74" s="458" t="s">
        <v>407</v>
      </c>
      <c r="B74" s="459" t="s">
        <v>63</v>
      </c>
      <c r="C74" s="483">
        <v>1</v>
      </c>
      <c r="D74" s="484">
        <v>15.62</v>
      </c>
      <c r="E74" s="485">
        <f>C74*D74</f>
        <v>15.62</v>
      </c>
      <c r="F74" s="479"/>
      <c r="G74" s="380"/>
    </row>
    <row r="75" spans="1:7" ht="13.5" hidden="1" thickBot="1" x14ac:dyDescent="0.25">
      <c r="A75" s="458"/>
      <c r="B75" s="459" t="s">
        <v>63</v>
      </c>
      <c r="C75" s="483">
        <v>0</v>
      </c>
      <c r="D75" s="484">
        <v>0</v>
      </c>
      <c r="E75" s="485"/>
      <c r="F75" s="479"/>
      <c r="G75" s="380"/>
    </row>
    <row r="76" spans="1:7" ht="13.5" thickBot="1" x14ac:dyDescent="0.25">
      <c r="A76" s="486"/>
      <c r="B76" s="486"/>
      <c r="D76" s="469" t="s">
        <v>65</v>
      </c>
      <c r="E76" s="482">
        <f>E55</f>
        <v>0.45454545454545453</v>
      </c>
      <c r="F76" s="525">
        <f>SUM(E74:E75)*E76</f>
        <v>7.1</v>
      </c>
      <c r="G76" s="380"/>
    </row>
    <row r="77" spans="1:7" ht="13.5" thickBot="1" x14ac:dyDescent="0.25">
      <c r="D77" s="469"/>
      <c r="E77" s="487"/>
      <c r="G77" s="380"/>
    </row>
    <row r="78" spans="1:7" ht="13.5" thickBot="1" x14ac:dyDescent="0.25">
      <c r="A78" s="488" t="s">
        <v>66</v>
      </c>
      <c r="B78" s="489"/>
      <c r="C78" s="489"/>
      <c r="D78" s="419"/>
      <c r="E78" s="490"/>
      <c r="F78" s="524">
        <f>F70+F63+F55+F76</f>
        <v>1640.3064499999998</v>
      </c>
      <c r="G78" s="380"/>
    </row>
    <row r="80" spans="1:7" x14ac:dyDescent="0.2">
      <c r="A80" s="408" t="s">
        <v>67</v>
      </c>
      <c r="G80" s="380"/>
    </row>
    <row r="81" spans="1:7" ht="11.25" hidden="1" customHeight="1" x14ac:dyDescent="0.2">
      <c r="G81" s="380"/>
    </row>
    <row r="82" spans="1:7" ht="13.9" hidden="1" customHeight="1" x14ac:dyDescent="0.2">
      <c r="A82" s="380" t="s">
        <v>68</v>
      </c>
      <c r="G82" s="380"/>
    </row>
    <row r="83" spans="1:7" ht="11.25" hidden="1" customHeight="1" thickBot="1" x14ac:dyDescent="0.25">
      <c r="G83" s="380"/>
    </row>
    <row r="84" spans="1:7" ht="27.75" hidden="1" customHeight="1" thickBot="1" x14ac:dyDescent="0.25">
      <c r="A84" s="450" t="s">
        <v>22</v>
      </c>
      <c r="B84" s="451" t="s">
        <v>23</v>
      </c>
      <c r="C84" s="491" t="s">
        <v>69</v>
      </c>
      <c r="D84" s="452" t="s">
        <v>24</v>
      </c>
      <c r="E84" s="452" t="s">
        <v>25</v>
      </c>
      <c r="F84" s="453" t="s">
        <v>401</v>
      </c>
      <c r="G84" s="380"/>
    </row>
    <row r="85" spans="1:7" hidden="1" x14ac:dyDescent="0.2">
      <c r="A85" s="454" t="s">
        <v>70</v>
      </c>
      <c r="B85" s="455" t="s">
        <v>63</v>
      </c>
      <c r="C85" s="492">
        <v>12</v>
      </c>
      <c r="D85" s="456">
        <v>110</v>
      </c>
      <c r="E85" s="457">
        <f>IFERROR(D85/C85,0)</f>
        <v>9.1666666666666661</v>
      </c>
      <c r="G85" s="380"/>
    </row>
    <row r="86" spans="1:7" ht="13.15" hidden="1" customHeight="1" x14ac:dyDescent="0.2">
      <c r="A86" s="458" t="s">
        <v>71</v>
      </c>
      <c r="B86" s="459" t="s">
        <v>63</v>
      </c>
      <c r="C86" s="492">
        <v>4</v>
      </c>
      <c r="D86" s="493">
        <v>35</v>
      </c>
      <c r="E86" s="457">
        <f t="shared" ref="E86:E94" si="1">IFERROR(D86/C86,0)</f>
        <v>8.75</v>
      </c>
      <c r="G86" s="380"/>
    </row>
    <row r="87" spans="1:7" hidden="1" x14ac:dyDescent="0.2">
      <c r="A87" s="458" t="s">
        <v>72</v>
      </c>
      <c r="B87" s="459" t="s">
        <v>63</v>
      </c>
      <c r="C87" s="492">
        <v>2</v>
      </c>
      <c r="D87" s="493">
        <v>28</v>
      </c>
      <c r="E87" s="457">
        <f t="shared" si="1"/>
        <v>14</v>
      </c>
      <c r="G87" s="380"/>
    </row>
    <row r="88" spans="1:7" ht="13.15" hidden="1" customHeight="1" x14ac:dyDescent="0.2">
      <c r="A88" s="458" t="s">
        <v>73</v>
      </c>
      <c r="B88" s="459" t="s">
        <v>63</v>
      </c>
      <c r="C88" s="492">
        <v>4</v>
      </c>
      <c r="D88" s="493">
        <v>18</v>
      </c>
      <c r="E88" s="457">
        <f t="shared" si="1"/>
        <v>4.5</v>
      </c>
      <c r="G88" s="380"/>
    </row>
    <row r="89" spans="1:7" ht="13.9" hidden="1" customHeight="1" x14ac:dyDescent="0.2">
      <c r="A89" s="458" t="s">
        <v>74</v>
      </c>
      <c r="B89" s="459" t="s">
        <v>75</v>
      </c>
      <c r="C89" s="492">
        <v>4</v>
      </c>
      <c r="D89" s="493">
        <v>60</v>
      </c>
      <c r="E89" s="457">
        <f t="shared" si="1"/>
        <v>15</v>
      </c>
      <c r="G89" s="380"/>
    </row>
    <row r="90" spans="1:7" ht="13.15" hidden="1" customHeight="1" x14ac:dyDescent="0.2">
      <c r="A90" s="458" t="s">
        <v>76</v>
      </c>
      <c r="B90" s="459" t="s">
        <v>75</v>
      </c>
      <c r="C90" s="492">
        <v>2</v>
      </c>
      <c r="D90" s="493">
        <v>10</v>
      </c>
      <c r="E90" s="457">
        <f t="shared" si="1"/>
        <v>5</v>
      </c>
    </row>
    <row r="91" spans="1:7" hidden="1" x14ac:dyDescent="0.2">
      <c r="A91" s="458" t="s">
        <v>77</v>
      </c>
      <c r="B91" s="459" t="s">
        <v>63</v>
      </c>
      <c r="C91" s="492">
        <v>6</v>
      </c>
      <c r="D91" s="493">
        <v>67</v>
      </c>
      <c r="E91" s="457">
        <f t="shared" si="1"/>
        <v>11.166666666666666</v>
      </c>
    </row>
    <row r="92" spans="1:7" s="497" customFormat="1" hidden="1" x14ac:dyDescent="0.2">
      <c r="A92" s="494" t="s">
        <v>78</v>
      </c>
      <c r="B92" s="495" t="s">
        <v>63</v>
      </c>
      <c r="C92" s="492">
        <v>4</v>
      </c>
      <c r="D92" s="493">
        <v>20</v>
      </c>
      <c r="E92" s="457">
        <f t="shared" si="1"/>
        <v>5</v>
      </c>
      <c r="F92" s="496"/>
      <c r="G92" s="496"/>
    </row>
    <row r="93" spans="1:7" hidden="1" x14ac:dyDescent="0.2">
      <c r="A93" s="458" t="s">
        <v>79</v>
      </c>
      <c r="B93" s="459" t="s">
        <v>75</v>
      </c>
      <c r="C93" s="492">
        <v>1</v>
      </c>
      <c r="D93" s="493">
        <v>19</v>
      </c>
      <c r="E93" s="457">
        <f t="shared" si="1"/>
        <v>19</v>
      </c>
    </row>
    <row r="94" spans="1:7" ht="13.15" hidden="1" customHeight="1" x14ac:dyDescent="0.2">
      <c r="A94" s="458" t="s">
        <v>80</v>
      </c>
      <c r="B94" s="459" t="s">
        <v>81</v>
      </c>
      <c r="C94" s="492">
        <v>2</v>
      </c>
      <c r="D94" s="493">
        <v>20</v>
      </c>
      <c r="E94" s="457">
        <f t="shared" si="1"/>
        <v>10</v>
      </c>
    </row>
    <row r="95" spans="1:7" hidden="1" x14ac:dyDescent="0.2">
      <c r="A95" s="458" t="s">
        <v>82</v>
      </c>
      <c r="B95" s="459" t="s">
        <v>83</v>
      </c>
      <c r="C95" s="498">
        <v>1</v>
      </c>
      <c r="D95" s="493">
        <v>50</v>
      </c>
      <c r="E95" s="461">
        <f t="shared" ref="E95:E96" si="2">C95*D95</f>
        <v>50</v>
      </c>
    </row>
    <row r="96" spans="1:7" hidden="1" x14ac:dyDescent="0.2">
      <c r="A96" s="458" t="s">
        <v>41</v>
      </c>
      <c r="B96" s="459" t="s">
        <v>42</v>
      </c>
      <c r="C96" s="499">
        <v>0</v>
      </c>
      <c r="D96" s="461">
        <f>+SUM(E85:E95)</f>
        <v>151.58333333333331</v>
      </c>
      <c r="E96" s="461">
        <f t="shared" si="2"/>
        <v>0</v>
      </c>
    </row>
    <row r="97" spans="1:7" ht="13.5" hidden="1" thickBot="1" x14ac:dyDescent="0.25">
      <c r="D97" s="469" t="s">
        <v>43</v>
      </c>
      <c r="E97" s="470">
        <f>$B$40</f>
        <v>0.45454545454545453</v>
      </c>
      <c r="F97" s="471">
        <f>E96*E97</f>
        <v>0</v>
      </c>
    </row>
    <row r="98" spans="1:7" ht="11.25" customHeight="1" x14ac:dyDescent="0.2"/>
    <row r="99" spans="1:7" ht="13.9" customHeight="1" x14ac:dyDescent="0.2">
      <c r="A99" s="380" t="s">
        <v>408</v>
      </c>
    </row>
    <row r="100" spans="1:7" ht="11.25" customHeight="1" thickBot="1" x14ac:dyDescent="0.25"/>
    <row r="101" spans="1:7" ht="24.75" thickBot="1" x14ac:dyDescent="0.25">
      <c r="A101" s="519" t="s">
        <v>22</v>
      </c>
      <c r="B101" s="520" t="s">
        <v>23</v>
      </c>
      <c r="C101" s="526" t="s">
        <v>69</v>
      </c>
      <c r="D101" s="521" t="s">
        <v>24</v>
      </c>
      <c r="E101" s="521" t="s">
        <v>25</v>
      </c>
      <c r="F101" s="522" t="s">
        <v>401</v>
      </c>
    </row>
    <row r="102" spans="1:7" x14ac:dyDescent="0.2">
      <c r="A102" s="454" t="s">
        <v>70</v>
      </c>
      <c r="B102" s="455" t="s">
        <v>63</v>
      </c>
      <c r="C102" s="492">
        <f>C85</f>
        <v>12</v>
      </c>
      <c r="D102" s="456">
        <f>+D85</f>
        <v>110</v>
      </c>
      <c r="E102" s="457">
        <f>IFERROR(D102/C102,0)</f>
        <v>9.1666666666666661</v>
      </c>
    </row>
    <row r="103" spans="1:7" x14ac:dyDescent="0.2">
      <c r="A103" s="458" t="s">
        <v>71</v>
      </c>
      <c r="B103" s="459" t="s">
        <v>63</v>
      </c>
      <c r="C103" s="492">
        <f>C86</f>
        <v>4</v>
      </c>
      <c r="D103" s="481">
        <f>+D86</f>
        <v>35</v>
      </c>
      <c r="E103" s="457">
        <f t="shared" ref="E103:E106" si="3">IFERROR(D103/C103,0)</f>
        <v>8.75</v>
      </c>
    </row>
    <row r="104" spans="1:7" x14ac:dyDescent="0.2">
      <c r="A104" s="458" t="s">
        <v>72</v>
      </c>
      <c r="B104" s="459" t="s">
        <v>63</v>
      </c>
      <c r="C104" s="492">
        <f>C87</f>
        <v>2</v>
      </c>
      <c r="D104" s="481">
        <f>+D87</f>
        <v>28</v>
      </c>
      <c r="E104" s="457">
        <f t="shared" si="3"/>
        <v>14</v>
      </c>
    </row>
    <row r="105" spans="1:7" x14ac:dyDescent="0.2">
      <c r="A105" s="458" t="s">
        <v>428</v>
      </c>
      <c r="B105" s="459" t="s">
        <v>75</v>
      </c>
      <c r="C105" s="492">
        <f>C89</f>
        <v>4</v>
      </c>
      <c r="D105" s="481">
        <f>+D89</f>
        <v>60</v>
      </c>
      <c r="E105" s="457">
        <f t="shared" si="3"/>
        <v>15</v>
      </c>
    </row>
    <row r="106" spans="1:7" x14ac:dyDescent="0.2">
      <c r="A106" s="458" t="s">
        <v>409</v>
      </c>
      <c r="B106" s="495" t="s">
        <v>63</v>
      </c>
      <c r="C106" s="498">
        <v>4.7619047619047616E-2</v>
      </c>
      <c r="D106" s="493">
        <v>1</v>
      </c>
      <c r="E106" s="457">
        <f t="shared" si="3"/>
        <v>21</v>
      </c>
      <c r="G106" s="380"/>
    </row>
    <row r="107" spans="1:7" ht="13.5" thickBot="1" x14ac:dyDescent="0.25">
      <c r="A107" s="458" t="s">
        <v>41</v>
      </c>
      <c r="B107" s="459" t="s">
        <v>42</v>
      </c>
      <c r="C107" s="499">
        <v>1</v>
      </c>
      <c r="D107" s="461">
        <f>+SUM(E102:E106)</f>
        <v>67.916666666666657</v>
      </c>
      <c r="E107" s="461">
        <f t="shared" ref="E107" si="4">C107*D107</f>
        <v>67.916666666666657</v>
      </c>
      <c r="G107" s="380"/>
    </row>
    <row r="108" spans="1:7" ht="13.5" thickBot="1" x14ac:dyDescent="0.25">
      <c r="D108" s="469" t="s">
        <v>43</v>
      </c>
      <c r="E108" s="470">
        <f>E76</f>
        <v>0.45454545454545453</v>
      </c>
      <c r="F108" s="523">
        <f>E107*E108</f>
        <v>30.871212121212118</v>
      </c>
      <c r="G108" s="380"/>
    </row>
    <row r="109" spans="1:7" ht="11.25" customHeight="1" thickBot="1" x14ac:dyDescent="0.25">
      <c r="G109" s="380"/>
    </row>
    <row r="110" spans="1:7" ht="13.5" thickBot="1" x14ac:dyDescent="0.25">
      <c r="A110" s="488" t="s">
        <v>85</v>
      </c>
      <c r="B110" s="500"/>
      <c r="C110" s="500"/>
      <c r="D110" s="501"/>
      <c r="E110" s="502"/>
      <c r="F110" s="527">
        <f>+F97+F108</f>
        <v>30.871212121212118</v>
      </c>
      <c r="G110" s="380"/>
    </row>
    <row r="111" spans="1:7" ht="11.25" customHeight="1" x14ac:dyDescent="0.2">
      <c r="G111" s="380"/>
    </row>
    <row r="112" spans="1:7" ht="11.25" customHeight="1" x14ac:dyDescent="0.2">
      <c r="G112" s="380"/>
    </row>
    <row r="113" spans="1:7" x14ac:dyDescent="0.2">
      <c r="A113" s="448" t="s">
        <v>410</v>
      </c>
      <c r="B113" s="448"/>
      <c r="C113" s="448"/>
      <c r="D113" s="447"/>
      <c r="E113" s="447"/>
      <c r="F113" s="503"/>
    </row>
    <row r="114" spans="1:7" ht="11.25" customHeight="1" thickBot="1" x14ac:dyDescent="0.25"/>
    <row r="115" spans="1:7" ht="13.5" thickBot="1" x14ac:dyDescent="0.25">
      <c r="A115" s="519" t="s">
        <v>22</v>
      </c>
      <c r="B115" s="520" t="s">
        <v>23</v>
      </c>
      <c r="C115" s="520" t="s">
        <v>16</v>
      </c>
      <c r="D115" s="521" t="s">
        <v>24</v>
      </c>
      <c r="E115" s="521" t="s">
        <v>25</v>
      </c>
      <c r="F115" s="522" t="s">
        <v>401</v>
      </c>
    </row>
    <row r="116" spans="1:7" x14ac:dyDescent="0.2">
      <c r="A116" s="458" t="s">
        <v>411</v>
      </c>
      <c r="B116" s="504" t="s">
        <v>63</v>
      </c>
      <c r="C116" s="499">
        <v>1</v>
      </c>
      <c r="D116" s="481">
        <v>1200</v>
      </c>
      <c r="E116" s="461">
        <f>+D116*C116</f>
        <v>1200</v>
      </c>
      <c r="F116" s="505"/>
    </row>
    <row r="117" spans="1:7" x14ac:dyDescent="0.2">
      <c r="A117" s="458" t="s">
        <v>412</v>
      </c>
      <c r="B117" s="504" t="s">
        <v>63</v>
      </c>
      <c r="C117" s="506">
        <v>1</v>
      </c>
      <c r="D117" s="481">
        <v>300</v>
      </c>
      <c r="E117" s="461">
        <f t="shared" ref="E117:E118" si="5">+D117*C117</f>
        <v>300</v>
      </c>
      <c r="F117" s="505"/>
    </row>
    <row r="118" spans="1:7" ht="13.5" thickBot="1" x14ac:dyDescent="0.25">
      <c r="A118" s="458" t="s">
        <v>413</v>
      </c>
      <c r="B118" s="459" t="s">
        <v>63</v>
      </c>
      <c r="C118" s="499">
        <f>+C116</f>
        <v>1</v>
      </c>
      <c r="D118" s="481">
        <v>200</v>
      </c>
      <c r="E118" s="461">
        <f t="shared" si="5"/>
        <v>200</v>
      </c>
      <c r="F118" s="505"/>
    </row>
    <row r="119" spans="1:7" ht="13.5" hidden="1" thickBot="1" x14ac:dyDescent="0.25">
      <c r="A119" s="458" t="s">
        <v>414</v>
      </c>
      <c r="B119" s="459" t="s">
        <v>415</v>
      </c>
      <c r="C119" s="492">
        <v>0</v>
      </c>
      <c r="D119" s="456">
        <v>100</v>
      </c>
      <c r="E119" s="461">
        <f t="shared" ref="E119" si="6">C119*D119</f>
        <v>0</v>
      </c>
      <c r="F119" s="505"/>
    </row>
    <row r="120" spans="1:7" ht="13.5" thickBot="1" x14ac:dyDescent="0.25">
      <c r="A120" s="507"/>
      <c r="B120" s="507"/>
      <c r="C120" s="507"/>
      <c r="D120" s="469" t="s">
        <v>43</v>
      </c>
      <c r="E120" s="482">
        <v>1</v>
      </c>
      <c r="F120" s="527">
        <f>E116+E117+E118+E119</f>
        <v>1700</v>
      </c>
    </row>
    <row r="121" spans="1:7" s="509" customFormat="1" ht="11.25" customHeight="1" thickBot="1" x14ac:dyDescent="0.25">
      <c r="A121" s="380"/>
      <c r="B121" s="380"/>
      <c r="C121" s="380"/>
      <c r="D121" s="381"/>
      <c r="E121" s="381"/>
      <c r="F121" s="381"/>
      <c r="G121" s="508"/>
    </row>
    <row r="122" spans="1:7" ht="13.5" thickBot="1" x14ac:dyDescent="0.25">
      <c r="A122" s="488" t="s">
        <v>152</v>
      </c>
      <c r="B122" s="489"/>
      <c r="C122" s="489"/>
      <c r="D122" s="419"/>
      <c r="E122" s="490"/>
      <c r="F122" s="527">
        <f>+F120</f>
        <v>1700</v>
      </c>
    </row>
    <row r="123" spans="1:7" ht="11.25" customHeight="1" thickBot="1" x14ac:dyDescent="0.25"/>
    <row r="124" spans="1:7" ht="17.25" customHeight="1" thickBot="1" x14ac:dyDescent="0.25">
      <c r="A124" s="488" t="s">
        <v>153</v>
      </c>
      <c r="B124" s="500"/>
      <c r="C124" s="500"/>
      <c r="D124" s="501"/>
      <c r="E124" s="502"/>
      <c r="F124" s="524">
        <f>+F78+F110+F122</f>
        <v>3371.1776621212121</v>
      </c>
    </row>
    <row r="125" spans="1:7" ht="11.25" customHeight="1" x14ac:dyDescent="0.2"/>
    <row r="126" spans="1:7" x14ac:dyDescent="0.2">
      <c r="A126" s="408" t="s">
        <v>416</v>
      </c>
    </row>
    <row r="127" spans="1:7" ht="11.25" customHeight="1" thickBot="1" x14ac:dyDescent="0.25"/>
    <row r="128" spans="1:7" ht="13.5" thickBot="1" x14ac:dyDescent="0.25">
      <c r="A128" s="519" t="s">
        <v>22</v>
      </c>
      <c r="B128" s="520" t="s">
        <v>23</v>
      </c>
      <c r="C128" s="520" t="s">
        <v>16</v>
      </c>
      <c r="D128" s="521" t="s">
        <v>24</v>
      </c>
      <c r="E128" s="521" t="s">
        <v>25</v>
      </c>
      <c r="F128" s="522" t="s">
        <v>401</v>
      </c>
    </row>
    <row r="129" spans="1:7" ht="13.5" thickBot="1" x14ac:dyDescent="0.25">
      <c r="A129" s="454" t="s">
        <v>155</v>
      </c>
      <c r="B129" s="455" t="s">
        <v>12</v>
      </c>
      <c r="C129" s="467">
        <f>'7.BDI'!C21*100</f>
        <v>24.27</v>
      </c>
      <c r="D129" s="457">
        <f>+F124</f>
        <v>3371.1776621212121</v>
      </c>
      <c r="E129" s="457">
        <f>C129*D129/100</f>
        <v>818.18481859681822</v>
      </c>
    </row>
    <row r="130" spans="1:7" ht="13.5" thickBot="1" x14ac:dyDescent="0.25">
      <c r="F130" s="527">
        <f>+E129</f>
        <v>818.18481859681822</v>
      </c>
    </row>
    <row r="131" spans="1:7" ht="11.25" customHeight="1" thickBot="1" x14ac:dyDescent="0.25"/>
    <row r="132" spans="1:7" ht="13.5" thickBot="1" x14ac:dyDescent="0.25">
      <c r="A132" s="488" t="s">
        <v>156</v>
      </c>
      <c r="B132" s="500"/>
      <c r="C132" s="500"/>
      <c r="D132" s="501"/>
      <c r="E132" s="502"/>
      <c r="F132" s="524">
        <f>F130</f>
        <v>818.18481859681822</v>
      </c>
    </row>
    <row r="133" spans="1:7" x14ac:dyDescent="0.2">
      <c r="A133" s="448"/>
      <c r="B133" s="448"/>
      <c r="C133" s="448"/>
      <c r="D133" s="447"/>
      <c r="E133" s="447"/>
      <c r="F133" s="503"/>
    </row>
    <row r="134" spans="1:7" ht="11.25" customHeight="1" thickBot="1" x14ac:dyDescent="0.25"/>
    <row r="135" spans="1:7" ht="24.75" customHeight="1" thickBot="1" x14ac:dyDescent="0.25">
      <c r="A135" s="488" t="s">
        <v>157</v>
      </c>
      <c r="B135" s="500"/>
      <c r="C135" s="500"/>
      <c r="D135" s="501"/>
      <c r="E135" s="502"/>
      <c r="F135" s="105">
        <f>F124+F132</f>
        <v>4189.3624807180304</v>
      </c>
    </row>
    <row r="136" spans="1:7" ht="12.6" customHeight="1" x14ac:dyDescent="0.2">
      <c r="A136" s="510"/>
      <c r="B136" s="510"/>
      <c r="C136" s="510"/>
      <c r="D136" s="511"/>
      <c r="E136" s="511"/>
      <c r="F136" s="511"/>
    </row>
    <row r="137" spans="1:7" ht="14.25" hidden="1" x14ac:dyDescent="0.2">
      <c r="A137" s="392"/>
      <c r="B137" s="392"/>
      <c r="C137" s="392"/>
      <c r="D137" s="391"/>
      <c r="E137" s="391"/>
    </row>
    <row r="138" spans="1:7" ht="16.149999999999999" hidden="1" customHeight="1" x14ac:dyDescent="0.2">
      <c r="A138" s="512" t="s">
        <v>417</v>
      </c>
      <c r="B138" s="513"/>
      <c r="C138" s="513"/>
      <c r="D138" s="514"/>
      <c r="E138" s="515" t="s">
        <v>418</v>
      </c>
      <c r="G138" s="381" t="s">
        <v>419</v>
      </c>
    </row>
    <row r="139" spans="1:7" hidden="1" x14ac:dyDescent="0.2"/>
    <row r="140" spans="1:7" ht="25.5" hidden="1" customHeight="1" thickBot="1" x14ac:dyDescent="0.25">
      <c r="A140" s="488" t="s">
        <v>420</v>
      </c>
      <c r="B140" s="489"/>
      <c r="C140" s="489"/>
      <c r="D140" s="419"/>
      <c r="E140" s="516" t="s">
        <v>421</v>
      </c>
      <c r="F140" s="517" t="str">
        <f>IFERROR(F135/D138,"-")</f>
        <v>-</v>
      </c>
      <c r="G140" s="381" t="s">
        <v>419</v>
      </c>
    </row>
    <row r="141" spans="1:7" ht="12.6" hidden="1" customHeight="1" x14ac:dyDescent="0.2">
      <c r="A141" s="448"/>
      <c r="B141" s="448"/>
      <c r="C141" s="448"/>
      <c r="D141" s="447"/>
      <c r="E141" s="447"/>
      <c r="F141" s="447"/>
    </row>
    <row r="142" spans="1:7" s="383" customFormat="1" ht="9.75" hidden="1" customHeight="1" x14ac:dyDescent="0.2">
      <c r="A142" s="518"/>
      <c r="B142" s="381"/>
      <c r="C142" s="381"/>
      <c r="D142" s="381"/>
      <c r="E142" s="381"/>
      <c r="F142" s="381"/>
      <c r="G142" s="385"/>
    </row>
    <row r="143" spans="1:7" s="383" customFormat="1" ht="9.75" hidden="1" customHeight="1" x14ac:dyDescent="0.2">
      <c r="A143" s="518"/>
      <c r="B143" s="381"/>
      <c r="C143" s="381"/>
      <c r="D143" s="381"/>
      <c r="E143" s="381"/>
      <c r="F143" s="381"/>
      <c r="G143" s="385"/>
    </row>
    <row r="144" spans="1:7" s="383" customFormat="1" ht="9.75" hidden="1" customHeight="1" x14ac:dyDescent="0.2">
      <c r="A144" s="518"/>
      <c r="B144" s="381"/>
      <c r="C144" s="381"/>
      <c r="D144" s="381"/>
      <c r="E144" s="381"/>
      <c r="F144" s="381"/>
      <c r="G144" s="385"/>
    </row>
    <row r="174" spans="4:7" ht="9" customHeight="1" x14ac:dyDescent="0.2">
      <c r="D174" s="380"/>
      <c r="E174" s="380"/>
      <c r="F174" s="380"/>
      <c r="G174" s="380"/>
    </row>
  </sheetData>
  <mergeCells count="7">
    <mergeCell ref="A36:D36"/>
    <mergeCell ref="A12:F12"/>
    <mergeCell ref="A13:F13"/>
    <mergeCell ref="A15:F15"/>
    <mergeCell ref="A22:C22"/>
    <mergeCell ref="A28:E28"/>
    <mergeCell ref="A29:D29"/>
  </mergeCells>
  <pageMargins left="0.9055118110236221" right="0.51181102362204722" top="0.74803149606299213" bottom="0.74803149606299213" header="0.31496062992125984" footer="0.31496062992125984"/>
  <pageSetup paperSize="9" scale="75" fitToHeight="4" orientation="portrait" verticalDpi="300" r:id="rId1"/>
  <headerFooter alignWithMargins="0">
    <oddFooter>&amp;R&amp;P de &amp;N</oddFooter>
  </headerFooter>
  <rowBreaks count="1" manualBreakCount="1">
    <brk id="5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/>
  </sheetViews>
  <sheetFormatPr defaultRowHeight="12.75" x14ac:dyDescent="0.2"/>
  <cols>
    <col min="1" max="1" width="11" customWidth="1"/>
    <col min="2" max="2" width="17" customWidth="1"/>
    <col min="3" max="3" width="13.28515625" customWidth="1"/>
    <col min="4" max="4" width="13.85546875" customWidth="1"/>
    <col min="5" max="5" width="10.42578125" bestFit="1" customWidth="1"/>
    <col min="6" max="6" width="11.42578125" customWidth="1"/>
    <col min="7" max="7" width="10.42578125" customWidth="1"/>
    <col min="8" max="1022" width="8.7109375" customWidth="1"/>
  </cols>
  <sheetData>
    <row r="1" spans="1:6" x14ac:dyDescent="0.2">
      <c r="A1" s="179" t="s">
        <v>424</v>
      </c>
    </row>
    <row r="2" spans="1:6" x14ac:dyDescent="0.2">
      <c r="A2" s="179" t="s">
        <v>425</v>
      </c>
    </row>
    <row r="3" spans="1:6" x14ac:dyDescent="0.2">
      <c r="A3" s="180" t="s">
        <v>162</v>
      </c>
      <c r="B3" s="180" t="s">
        <v>163</v>
      </c>
      <c r="C3" s="180"/>
      <c r="D3" s="180" t="s">
        <v>164</v>
      </c>
    </row>
    <row r="4" spans="1:6" x14ac:dyDescent="0.2">
      <c r="A4" s="181">
        <v>1</v>
      </c>
      <c r="B4" s="183" t="s">
        <v>423</v>
      </c>
      <c r="C4" s="182"/>
      <c r="D4" s="184">
        <f>'1. Coleta Volumosos '!F310</f>
        <v>3716.2070636003273</v>
      </c>
    </row>
    <row r="5" spans="1:6" x14ac:dyDescent="0.2">
      <c r="A5" s="181">
        <v>2</v>
      </c>
      <c r="B5" s="120" t="s">
        <v>394</v>
      </c>
      <c r="C5" s="182"/>
      <c r="D5" s="184">
        <f>'2. Coleta Res Veg'!F310</f>
        <v>3635.8162804384842</v>
      </c>
    </row>
    <row r="6" spans="1:6" x14ac:dyDescent="0.2">
      <c r="A6" s="181">
        <v>3</v>
      </c>
      <c r="B6" s="183" t="s">
        <v>422</v>
      </c>
      <c r="C6" s="182"/>
      <c r="D6" s="184">
        <f>'3. Eco Ponto'!F135</f>
        <v>4189.3624807180304</v>
      </c>
    </row>
    <row r="7" spans="1:6" x14ac:dyDescent="0.2">
      <c r="A7" s="181"/>
      <c r="B7" s="183"/>
      <c r="C7" s="182"/>
      <c r="D7" s="184"/>
    </row>
    <row r="8" spans="1:6" x14ac:dyDescent="0.2">
      <c r="A8" s="185" t="s">
        <v>165</v>
      </c>
      <c r="B8" s="185"/>
      <c r="C8" s="186"/>
      <c r="D8" s="187">
        <f>SUM(D4:D7)</f>
        <v>11541.385824756842</v>
      </c>
      <c r="F8" s="378"/>
    </row>
    <row r="9" spans="1:6" x14ac:dyDescent="0.2">
      <c r="A9" s="185"/>
      <c r="B9" s="183"/>
      <c r="C9" s="183"/>
      <c r="D9" s="187"/>
    </row>
    <row r="10" spans="1:6" x14ac:dyDescent="0.2">
      <c r="A10" s="185"/>
      <c r="B10" s="183"/>
      <c r="C10" s="183"/>
      <c r="D10" s="187"/>
    </row>
    <row r="12" spans="1:6" x14ac:dyDescent="0.2">
      <c r="A12" s="185" t="s">
        <v>166</v>
      </c>
      <c r="B12" s="183"/>
      <c r="C12" s="188"/>
    </row>
    <row r="13" spans="1:6" x14ac:dyDescent="0.2">
      <c r="A13" s="184">
        <v>9</v>
      </c>
      <c r="B13" s="120" t="s">
        <v>167</v>
      </c>
      <c r="C13" s="188"/>
    </row>
    <row r="14" spans="1:6" x14ac:dyDescent="0.2">
      <c r="A14" s="184">
        <v>5</v>
      </c>
      <c r="B14" s="120" t="s">
        <v>168</v>
      </c>
      <c r="C14" s="188"/>
    </row>
    <row r="15" spans="1:6" x14ac:dyDescent="0.2">
      <c r="A15" s="184">
        <v>5</v>
      </c>
      <c r="B15" s="120" t="s">
        <v>169</v>
      </c>
      <c r="C15" s="188"/>
    </row>
    <row r="16" spans="1:6" x14ac:dyDescent="0.2">
      <c r="A16" s="189">
        <f>SUM(A13:A15)</f>
        <v>19</v>
      </c>
      <c r="B16" s="120" t="s">
        <v>170</v>
      </c>
      <c r="C16" s="188"/>
    </row>
    <row r="17" spans="1:3" x14ac:dyDescent="0.2">
      <c r="A17" s="190">
        <f>D8*A16/100</f>
        <v>2192.8633067037999</v>
      </c>
      <c r="B17" s="191" t="s">
        <v>171</v>
      </c>
      <c r="C17" s="192"/>
    </row>
    <row r="18" spans="1:3" x14ac:dyDescent="0.2">
      <c r="A18" s="183"/>
      <c r="B18" s="186"/>
      <c r="C18" s="193"/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40"/>
  <sheetViews>
    <sheetView topLeftCell="A23" workbookViewId="0"/>
  </sheetViews>
  <sheetFormatPr defaultRowHeight="12.75" x14ac:dyDescent="0.2"/>
  <cols>
    <col min="1" max="1" width="13.5703125" style="123" customWidth="1"/>
    <col min="2" max="2" width="39.5703125" style="123" customWidth="1"/>
    <col min="3" max="3" width="20.85546875" style="123" customWidth="1"/>
    <col min="4" max="4" width="37.28515625" style="194" customWidth="1"/>
    <col min="5" max="10" width="9.140625" style="123" customWidth="1"/>
    <col min="11" max="11" width="11" style="123" customWidth="1"/>
    <col min="12" max="1025" width="9.140625" style="123" customWidth="1"/>
  </cols>
  <sheetData>
    <row r="1" spans="1:12" x14ac:dyDescent="0.2">
      <c r="A1" s="28" t="s">
        <v>0</v>
      </c>
    </row>
    <row r="2" spans="1:12" x14ac:dyDescent="0.2">
      <c r="A2" s="195" t="s">
        <v>172</v>
      </c>
    </row>
    <row r="3" spans="1:12" s="5" customFormat="1" ht="15.6" customHeight="1" x14ac:dyDescent="0.2">
      <c r="B3" s="6"/>
      <c r="C3" s="6"/>
      <c r="D3" s="6"/>
      <c r="E3" s="6"/>
      <c r="F3" s="6"/>
      <c r="G3" s="7"/>
    </row>
    <row r="4" spans="1:12" s="5" customFormat="1" ht="15.6" hidden="1" customHeight="1" x14ac:dyDescent="0.2">
      <c r="A4" s="10" t="s">
        <v>6</v>
      </c>
      <c r="B4" s="6"/>
      <c r="C4" s="6"/>
      <c r="D4" s="6"/>
      <c r="E4" s="6"/>
      <c r="F4" s="6"/>
      <c r="G4" s="7"/>
    </row>
    <row r="5" spans="1:12" s="5" customFormat="1" ht="16.5" customHeight="1" x14ac:dyDescent="0.2">
      <c r="A5" s="4" t="s">
        <v>173</v>
      </c>
      <c r="B5" s="11"/>
      <c r="C5" s="11"/>
      <c r="D5" s="7"/>
      <c r="E5" s="7"/>
      <c r="F5" s="7"/>
      <c r="G5" s="7"/>
    </row>
    <row r="6" spans="1:12" s="5" customFormat="1" ht="16.5" customHeight="1" x14ac:dyDescent="0.2">
      <c r="A6" s="4" t="s">
        <v>174</v>
      </c>
      <c r="B6" s="11"/>
      <c r="C6" s="11"/>
      <c r="D6" s="7"/>
      <c r="E6" s="7"/>
      <c r="F6" s="7"/>
      <c r="G6" s="7"/>
    </row>
    <row r="8" spans="1:12" ht="18" x14ac:dyDescent="0.2">
      <c r="A8" s="597" t="s">
        <v>175</v>
      </c>
      <c r="B8" s="597"/>
      <c r="C8" s="597"/>
      <c r="D8" s="196"/>
      <c r="E8" s="196"/>
      <c r="F8" s="196"/>
    </row>
    <row r="9" spans="1:12" ht="14.25" x14ac:dyDescent="0.2">
      <c r="A9" s="197" t="s">
        <v>176</v>
      </c>
      <c r="B9" s="198" t="s">
        <v>177</v>
      </c>
      <c r="C9" s="199" t="s">
        <v>178</v>
      </c>
      <c r="D9" s="200"/>
    </row>
    <row r="10" spans="1:12" ht="14.25" x14ac:dyDescent="0.2">
      <c r="A10" s="197" t="s">
        <v>179</v>
      </c>
      <c r="B10" s="198" t="s">
        <v>180</v>
      </c>
      <c r="C10" s="201">
        <v>0.2</v>
      </c>
      <c r="D10" s="200"/>
      <c r="F10" s="194"/>
      <c r="G10" s="194"/>
      <c r="H10" s="194"/>
      <c r="I10" s="194"/>
      <c r="J10" s="194"/>
      <c r="K10" s="194"/>
      <c r="L10" s="194"/>
    </row>
    <row r="11" spans="1:12" ht="14.25" x14ac:dyDescent="0.2">
      <c r="A11" s="197" t="s">
        <v>181</v>
      </c>
      <c r="B11" s="198" t="s">
        <v>182</v>
      </c>
      <c r="C11" s="201">
        <v>1.4999999999999999E-2</v>
      </c>
      <c r="D11" s="200"/>
      <c r="F11" s="194"/>
      <c r="G11" s="194"/>
      <c r="H11" s="194"/>
      <c r="I11" s="194"/>
      <c r="J11" s="194"/>
      <c r="K11" s="194"/>
      <c r="L11" s="194"/>
    </row>
    <row r="12" spans="1:12" ht="14.25" x14ac:dyDescent="0.2">
      <c r="A12" s="197" t="s">
        <v>183</v>
      </c>
      <c r="B12" s="198" t="s">
        <v>184</v>
      </c>
      <c r="C12" s="201">
        <v>0.01</v>
      </c>
      <c r="D12" s="200"/>
      <c r="F12" s="194"/>
      <c r="G12" s="194"/>
      <c r="H12" s="194"/>
      <c r="I12" s="194"/>
      <c r="J12" s="194"/>
      <c r="K12" s="194"/>
      <c r="L12" s="194"/>
    </row>
    <row r="13" spans="1:12" ht="14.25" x14ac:dyDescent="0.2">
      <c r="A13" s="197" t="s">
        <v>185</v>
      </c>
      <c r="B13" s="198" t="s">
        <v>186</v>
      </c>
      <c r="C13" s="201">
        <v>2E-3</v>
      </c>
      <c r="D13" s="200"/>
      <c r="F13" s="194"/>
      <c r="G13" s="194"/>
      <c r="H13" s="194"/>
      <c r="I13" s="194"/>
      <c r="J13" s="194"/>
      <c r="K13" s="194"/>
      <c r="L13" s="194"/>
    </row>
    <row r="14" spans="1:12" ht="14.25" x14ac:dyDescent="0.2">
      <c r="A14" s="197" t="s">
        <v>187</v>
      </c>
      <c r="B14" s="198" t="s">
        <v>188</v>
      </c>
      <c r="C14" s="201">
        <v>6.0000000000000001E-3</v>
      </c>
      <c r="D14" s="200"/>
      <c r="F14" s="194"/>
      <c r="G14" s="194"/>
      <c r="H14" s="194"/>
      <c r="I14" s="194"/>
      <c r="J14" s="194"/>
      <c r="K14" s="194"/>
      <c r="L14" s="194"/>
    </row>
    <row r="15" spans="1:12" ht="14.25" x14ac:dyDescent="0.2">
      <c r="A15" s="197" t="s">
        <v>189</v>
      </c>
      <c r="B15" s="198" t="s">
        <v>190</v>
      </c>
      <c r="C15" s="201">
        <v>2.5000000000000001E-2</v>
      </c>
      <c r="D15" s="200"/>
      <c r="F15" s="194"/>
      <c r="G15" s="194"/>
      <c r="H15" s="194"/>
      <c r="I15" s="194"/>
      <c r="J15" s="194"/>
      <c r="K15" s="194"/>
      <c r="L15" s="194"/>
    </row>
    <row r="16" spans="1:12" ht="14.25" x14ac:dyDescent="0.2">
      <c r="A16" s="197" t="s">
        <v>191</v>
      </c>
      <c r="B16" s="198" t="s">
        <v>192</v>
      </c>
      <c r="C16" s="201">
        <v>0.03</v>
      </c>
      <c r="D16" s="200"/>
      <c r="F16" s="194"/>
      <c r="G16" s="194"/>
      <c r="H16" s="194"/>
      <c r="I16" s="194"/>
      <c r="J16" s="194"/>
      <c r="K16" s="194"/>
      <c r="L16" s="194"/>
    </row>
    <row r="17" spans="1:12" ht="14.25" x14ac:dyDescent="0.2">
      <c r="A17" s="197" t="s">
        <v>193</v>
      </c>
      <c r="B17" s="198" t="s">
        <v>194</v>
      </c>
      <c r="C17" s="201">
        <v>0.08</v>
      </c>
      <c r="D17" s="202"/>
      <c r="F17" s="194"/>
      <c r="G17" s="194"/>
      <c r="H17" s="194"/>
      <c r="I17" s="194"/>
      <c r="J17" s="194"/>
      <c r="K17" s="194"/>
      <c r="L17" s="194"/>
    </row>
    <row r="18" spans="1:12" ht="15" x14ac:dyDescent="0.2">
      <c r="A18" s="197" t="s">
        <v>195</v>
      </c>
      <c r="B18" s="203" t="s">
        <v>196</v>
      </c>
      <c r="C18" s="204">
        <f>SUM(C10:C17)</f>
        <v>0.36800000000000005</v>
      </c>
      <c r="D18" s="202"/>
      <c r="F18" s="194"/>
      <c r="G18" s="194"/>
      <c r="H18" s="194"/>
      <c r="I18" s="194"/>
      <c r="J18" s="194"/>
      <c r="K18" s="194"/>
      <c r="L18" s="194"/>
    </row>
    <row r="19" spans="1:12" ht="15" x14ac:dyDescent="0.2">
      <c r="A19" s="205"/>
      <c r="B19" s="206"/>
      <c r="C19" s="207"/>
      <c r="D19" s="202"/>
      <c r="F19" s="194"/>
      <c r="G19" s="194"/>
      <c r="H19" s="194"/>
      <c r="I19" s="194"/>
      <c r="J19" s="194"/>
      <c r="K19" s="194"/>
      <c r="L19" s="194"/>
    </row>
    <row r="20" spans="1:12" ht="14.25" x14ac:dyDescent="0.2">
      <c r="A20" s="197" t="s">
        <v>197</v>
      </c>
      <c r="B20" s="198" t="s">
        <v>198</v>
      </c>
      <c r="C20" s="201">
        <f>ROUND(IF('6.CAGED'!C32&gt;24,(1-12/'6.CAGED'!C32)*0.1111,0.1111-C29),4)</f>
        <v>6.5699999999999995E-2</v>
      </c>
      <c r="D20" s="202"/>
      <c r="F20" s="194"/>
      <c r="G20" s="194"/>
      <c r="H20" s="194"/>
      <c r="I20" s="194"/>
      <c r="J20" s="194"/>
      <c r="K20" s="194"/>
      <c r="L20" s="194"/>
    </row>
    <row r="21" spans="1:12" ht="14.25" x14ac:dyDescent="0.2">
      <c r="A21" s="197" t="s">
        <v>199</v>
      </c>
      <c r="B21" s="198" t="s">
        <v>200</v>
      </c>
      <c r="C21" s="201">
        <f>ROUND('6.CAGED'!C36/'6.CAGED'!C33,4)</f>
        <v>8.3299999999999999E-2</v>
      </c>
      <c r="D21" s="202"/>
      <c r="F21" s="194"/>
      <c r="G21" s="194"/>
      <c r="H21" s="194"/>
      <c r="I21" s="194"/>
      <c r="J21" s="194"/>
      <c r="K21" s="194"/>
      <c r="L21" s="194"/>
    </row>
    <row r="22" spans="1:12" ht="14.25" x14ac:dyDescent="0.2">
      <c r="A22" s="197" t="s">
        <v>201</v>
      </c>
      <c r="B22" s="198" t="s">
        <v>202</v>
      </c>
      <c r="C22" s="201">
        <v>5.9999999999999995E-4</v>
      </c>
      <c r="D22" s="202"/>
      <c r="F22" s="194"/>
      <c r="G22" s="194"/>
      <c r="H22" s="194"/>
      <c r="I22" s="194"/>
      <c r="J22" s="194"/>
      <c r="K22" s="194"/>
      <c r="L22" s="194"/>
    </row>
    <row r="23" spans="1:12" ht="14.25" x14ac:dyDescent="0.2">
      <c r="A23" s="197" t="s">
        <v>203</v>
      </c>
      <c r="B23" s="198" t="s">
        <v>204</v>
      </c>
      <c r="C23" s="201">
        <v>8.2000000000000007E-3</v>
      </c>
      <c r="D23" s="202"/>
      <c r="F23" s="194"/>
      <c r="G23" s="194"/>
      <c r="H23" s="194"/>
      <c r="I23" s="194"/>
      <c r="J23" s="194"/>
      <c r="K23" s="194"/>
      <c r="L23" s="194"/>
    </row>
    <row r="24" spans="1:12" ht="14.25" x14ac:dyDescent="0.2">
      <c r="A24" s="197" t="s">
        <v>205</v>
      </c>
      <c r="B24" s="198" t="s">
        <v>206</v>
      </c>
      <c r="C24" s="201">
        <v>3.0999999999999999E-3</v>
      </c>
      <c r="D24" s="202"/>
      <c r="F24" s="194"/>
      <c r="G24" s="194"/>
      <c r="H24" s="194"/>
      <c r="I24" s="194"/>
      <c r="J24" s="194"/>
      <c r="K24" s="194"/>
      <c r="L24" s="194"/>
    </row>
    <row r="25" spans="1:12" ht="14.25" x14ac:dyDescent="0.2">
      <c r="A25" s="197" t="s">
        <v>207</v>
      </c>
      <c r="B25" s="198" t="s">
        <v>208</v>
      </c>
      <c r="C25" s="201">
        <v>1.15E-2</v>
      </c>
      <c r="D25" s="202"/>
      <c r="F25" s="194"/>
      <c r="G25" s="194"/>
      <c r="H25" s="194"/>
      <c r="I25" s="194"/>
      <c r="J25" s="194"/>
      <c r="K25" s="194"/>
      <c r="L25" s="194"/>
    </row>
    <row r="26" spans="1:12" ht="15" x14ac:dyDescent="0.2">
      <c r="A26" s="197" t="s">
        <v>209</v>
      </c>
      <c r="B26" s="203" t="s">
        <v>210</v>
      </c>
      <c r="C26" s="204">
        <f>SUM(C20:C25)</f>
        <v>0.1724</v>
      </c>
      <c r="D26" s="208"/>
      <c r="F26" s="194"/>
      <c r="G26" s="194"/>
      <c r="H26" s="194"/>
      <c r="I26" s="194"/>
      <c r="J26" s="194"/>
      <c r="K26" s="194"/>
      <c r="L26" s="194"/>
    </row>
    <row r="27" spans="1:12" ht="15" x14ac:dyDescent="0.2">
      <c r="A27" s="205"/>
      <c r="B27" s="206"/>
      <c r="C27" s="207"/>
      <c r="D27" s="208"/>
      <c r="F27" s="194"/>
      <c r="G27" s="194"/>
      <c r="H27" s="194"/>
      <c r="I27" s="194"/>
      <c r="J27" s="194"/>
      <c r="K27" s="194"/>
      <c r="L27" s="194"/>
    </row>
    <row r="28" spans="1:12" ht="14.25" x14ac:dyDescent="0.2">
      <c r="A28" s="197" t="s">
        <v>211</v>
      </c>
      <c r="B28" s="198" t="s">
        <v>212</v>
      </c>
      <c r="C28" s="201">
        <v>2.5000000000000001E-2</v>
      </c>
      <c r="D28" s="202"/>
      <c r="E28" s="209"/>
      <c r="F28" s="194"/>
      <c r="G28" s="194"/>
      <c r="H28" s="194"/>
      <c r="I28" s="194"/>
      <c r="J28" s="194"/>
      <c r="K28" s="194"/>
      <c r="L28" s="194"/>
    </row>
    <row r="29" spans="1:12" ht="14.25" x14ac:dyDescent="0.2">
      <c r="A29" s="197" t="s">
        <v>213</v>
      </c>
      <c r="B29" s="198" t="s">
        <v>214</v>
      </c>
      <c r="C29" s="201">
        <v>4.5400000000000003E-2</v>
      </c>
      <c r="D29" s="202"/>
      <c r="F29" s="194"/>
      <c r="G29" s="194"/>
      <c r="H29" s="210"/>
      <c r="I29" s="194"/>
      <c r="J29" s="194"/>
      <c r="K29" s="194"/>
      <c r="L29" s="194"/>
    </row>
    <row r="30" spans="1:12" ht="14.25" x14ac:dyDescent="0.2">
      <c r="A30" s="197" t="s">
        <v>215</v>
      </c>
      <c r="B30" s="198" t="s">
        <v>216</v>
      </c>
      <c r="C30" s="201">
        <v>1.2999999999999999E-3</v>
      </c>
      <c r="D30" s="202"/>
      <c r="E30" s="209"/>
      <c r="F30" s="194"/>
      <c r="G30" s="194"/>
      <c r="H30" s="194"/>
      <c r="I30" s="194"/>
      <c r="J30" s="194"/>
      <c r="K30" s="194"/>
      <c r="L30" s="194"/>
    </row>
    <row r="31" spans="1:12" ht="14.25" x14ac:dyDescent="0.2">
      <c r="A31" s="197" t="s">
        <v>217</v>
      </c>
      <c r="B31" s="198" t="s">
        <v>218</v>
      </c>
      <c r="C31" s="201">
        <v>0.02</v>
      </c>
      <c r="D31" s="202"/>
      <c r="F31" s="194"/>
      <c r="G31" s="211"/>
      <c r="H31" s="194"/>
      <c r="I31" s="194"/>
      <c r="J31" s="194"/>
      <c r="K31" s="194"/>
      <c r="L31" s="194"/>
    </row>
    <row r="32" spans="1:12" ht="14.25" x14ac:dyDescent="0.2">
      <c r="A32" s="197" t="s">
        <v>219</v>
      </c>
      <c r="B32" s="198" t="s">
        <v>220</v>
      </c>
      <c r="C32" s="201">
        <v>2E-3</v>
      </c>
      <c r="D32" s="202"/>
      <c r="F32" s="194"/>
      <c r="G32" s="194"/>
      <c r="H32" s="194"/>
      <c r="I32" s="194"/>
      <c r="J32" s="194"/>
      <c r="K32" s="194"/>
      <c r="L32" s="194"/>
    </row>
    <row r="33" spans="1:12" ht="15" x14ac:dyDescent="0.2">
      <c r="A33" s="197" t="s">
        <v>221</v>
      </c>
      <c r="B33" s="203" t="s">
        <v>222</v>
      </c>
      <c r="C33" s="204">
        <f>SUM(C28:C32)</f>
        <v>9.3700000000000006E-2</v>
      </c>
      <c r="D33" s="208"/>
      <c r="F33" s="194"/>
      <c r="G33" s="194"/>
      <c r="H33" s="194"/>
      <c r="I33" s="194"/>
      <c r="J33" s="194"/>
      <c r="K33" s="194"/>
      <c r="L33" s="194"/>
    </row>
    <row r="34" spans="1:12" ht="15" x14ac:dyDescent="0.2">
      <c r="A34" s="205"/>
      <c r="B34" s="206"/>
      <c r="C34" s="207"/>
      <c r="D34" s="208"/>
      <c r="F34" s="194"/>
      <c r="G34" s="194"/>
      <c r="H34" s="194"/>
      <c r="I34" s="194"/>
      <c r="J34" s="194"/>
      <c r="K34" s="194"/>
      <c r="L34" s="194"/>
    </row>
    <row r="35" spans="1:12" ht="14.25" x14ac:dyDescent="0.2">
      <c r="A35" s="197" t="s">
        <v>223</v>
      </c>
      <c r="B35" s="198" t="s">
        <v>224</v>
      </c>
      <c r="C35" s="201">
        <f>ROUND(C18*C26,4)</f>
        <v>6.3399999999999998E-2</v>
      </c>
      <c r="D35" s="202"/>
      <c r="F35" s="194"/>
      <c r="G35" s="194"/>
      <c r="H35" s="194"/>
      <c r="I35" s="194"/>
      <c r="J35" s="194"/>
      <c r="K35" s="194"/>
      <c r="L35" s="194"/>
    </row>
    <row r="36" spans="1:12" ht="28.5" x14ac:dyDescent="0.2">
      <c r="A36" s="197" t="s">
        <v>225</v>
      </c>
      <c r="B36" s="212" t="s">
        <v>226</v>
      </c>
      <c r="C36" s="201">
        <f>ROUND((C28*C17),4)</f>
        <v>2E-3</v>
      </c>
      <c r="D36" s="202"/>
      <c r="F36" s="194"/>
      <c r="G36" s="194"/>
      <c r="H36" s="194"/>
      <c r="I36" s="194"/>
      <c r="J36" s="194"/>
      <c r="K36" s="194"/>
      <c r="L36" s="194"/>
    </row>
    <row r="37" spans="1:12" ht="15" x14ac:dyDescent="0.2">
      <c r="A37" s="197" t="s">
        <v>227</v>
      </c>
      <c r="B37" s="203" t="s">
        <v>228</v>
      </c>
      <c r="C37" s="204">
        <f>SUM(C35:C36)</f>
        <v>6.54E-2</v>
      </c>
      <c r="D37" s="213"/>
      <c r="F37" s="194"/>
      <c r="G37" s="194"/>
      <c r="H37" s="194"/>
      <c r="I37" s="194"/>
      <c r="J37" s="194"/>
      <c r="K37" s="194"/>
      <c r="L37" s="194"/>
    </row>
    <row r="38" spans="1:12" ht="15" x14ac:dyDescent="0.2">
      <c r="A38" s="214"/>
      <c r="B38" s="215" t="s">
        <v>229</v>
      </c>
      <c r="C38" s="216">
        <f>C37+C33+C26+C18</f>
        <v>0.69950000000000001</v>
      </c>
      <c r="D38" s="213"/>
      <c r="F38" s="194"/>
      <c r="G38" s="194"/>
      <c r="H38" s="194"/>
      <c r="I38" s="194"/>
      <c r="J38" s="194"/>
      <c r="K38" s="194"/>
      <c r="L38" s="194"/>
    </row>
    <row r="39" spans="1:12" ht="15" x14ac:dyDescent="0.2">
      <c r="A39" s="202"/>
      <c r="B39" s="217"/>
      <c r="C39" s="218"/>
      <c r="D39" s="219"/>
      <c r="F39" s="194"/>
      <c r="G39" s="194"/>
      <c r="H39" s="194"/>
      <c r="I39" s="194"/>
      <c r="J39" s="194"/>
      <c r="K39" s="194"/>
      <c r="L39" s="194"/>
    </row>
    <row r="40" spans="1:12" ht="14.25" x14ac:dyDescent="0.2">
      <c r="A40" s="202"/>
      <c r="B40" s="202"/>
      <c r="C40" s="220"/>
      <c r="D40" s="221"/>
      <c r="F40" s="194"/>
      <c r="G40" s="194"/>
      <c r="H40" s="194"/>
      <c r="I40" s="194"/>
      <c r="J40" s="194"/>
      <c r="K40" s="194"/>
      <c r="L40" s="194"/>
    </row>
  </sheetData>
  <mergeCells count="1">
    <mergeCell ref="A8:C8"/>
  </mergeCells>
  <pageMargins left="0.905555555555556" right="0.51180555555555496" top="0.74791666666666701" bottom="0.74791666666666701" header="0.51180555555555496" footer="0.51180555555555496"/>
  <pageSetup paperSize="9" firstPageNumber="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9"/>
  <sheetViews>
    <sheetView workbookViewId="0"/>
  </sheetViews>
  <sheetFormatPr defaultRowHeight="12.75" x14ac:dyDescent="0.2"/>
  <cols>
    <col min="1" max="1" width="8.5703125" style="123" customWidth="1"/>
    <col min="2" max="2" width="67.140625" style="123" customWidth="1"/>
    <col min="3" max="3" width="13.7109375" style="123" customWidth="1"/>
    <col min="4" max="4" width="10.28515625" style="123" customWidth="1"/>
    <col min="5" max="5" width="13.7109375" style="123" customWidth="1"/>
    <col min="6" max="1025" width="9.140625" style="123" customWidth="1"/>
  </cols>
  <sheetData>
    <row r="1" spans="1:3" x14ac:dyDescent="0.2">
      <c r="A1" s="179" t="s">
        <v>230</v>
      </c>
    </row>
    <row r="3" spans="1:3" x14ac:dyDescent="0.2">
      <c r="A3" s="123" t="s">
        <v>231</v>
      </c>
    </row>
    <row r="4" spans="1:3" x14ac:dyDescent="0.2">
      <c r="A4" s="123" t="s">
        <v>232</v>
      </c>
    </row>
    <row r="5" spans="1:3" ht="25.5" customHeight="1" x14ac:dyDescent="0.2">
      <c r="A5" s="598" t="s">
        <v>233</v>
      </c>
      <c r="B5" s="598"/>
      <c r="C5" s="598"/>
    </row>
    <row r="6" spans="1:3" x14ac:dyDescent="0.2">
      <c r="A6" s="123" t="s">
        <v>234</v>
      </c>
    </row>
    <row r="7" spans="1:3" ht="26.25" customHeight="1" x14ac:dyDescent="0.2">
      <c r="A7" s="598" t="s">
        <v>235</v>
      </c>
      <c r="B7" s="598"/>
      <c r="C7" s="598"/>
    </row>
    <row r="8" spans="1:3" x14ac:dyDescent="0.2">
      <c r="A8" s="123" t="s">
        <v>236</v>
      </c>
    </row>
    <row r="9" spans="1:3" x14ac:dyDescent="0.2">
      <c r="A9" s="222" t="s">
        <v>237</v>
      </c>
    </row>
    <row r="11" spans="1:3" ht="18" x14ac:dyDescent="0.25">
      <c r="B11" s="599" t="s">
        <v>238</v>
      </c>
      <c r="C11" s="599"/>
    </row>
    <row r="12" spans="1:3" ht="15" x14ac:dyDescent="0.25">
      <c r="A12" s="194"/>
      <c r="B12" s="223" t="s">
        <v>239</v>
      </c>
      <c r="C12" s="224"/>
    </row>
    <row r="13" spans="1:3" ht="15" x14ac:dyDescent="0.25">
      <c r="A13" s="194"/>
      <c r="B13" s="225" t="s">
        <v>240</v>
      </c>
      <c r="C13" s="226">
        <v>1932</v>
      </c>
    </row>
    <row r="14" spans="1:3" ht="15" x14ac:dyDescent="0.25">
      <c r="A14" s="194"/>
      <c r="B14" s="227" t="s">
        <v>241</v>
      </c>
      <c r="C14" s="226">
        <v>2197</v>
      </c>
    </row>
    <row r="15" spans="1:3" ht="14.25" x14ac:dyDescent="0.2">
      <c r="A15" s="194"/>
      <c r="B15" s="228" t="s">
        <v>242</v>
      </c>
      <c r="C15" s="229">
        <v>25</v>
      </c>
    </row>
    <row r="16" spans="1:3" ht="14.25" x14ac:dyDescent="0.2">
      <c r="A16" s="194"/>
      <c r="B16" s="228" t="s">
        <v>243</v>
      </c>
      <c r="C16" s="229">
        <v>1463</v>
      </c>
    </row>
    <row r="17" spans="1:3" ht="14.25" x14ac:dyDescent="0.2">
      <c r="A17" s="194"/>
      <c r="B17" s="228" t="s">
        <v>244</v>
      </c>
      <c r="C17" s="229">
        <v>321</v>
      </c>
    </row>
    <row r="18" spans="1:3" ht="14.25" x14ac:dyDescent="0.2">
      <c r="A18" s="194"/>
      <c r="B18" s="228" t="s">
        <v>245</v>
      </c>
      <c r="C18" s="229">
        <v>12</v>
      </c>
    </row>
    <row r="19" spans="1:3" ht="14.25" x14ac:dyDescent="0.2">
      <c r="A19" s="194"/>
      <c r="B19" s="228" t="s">
        <v>246</v>
      </c>
      <c r="C19" s="229">
        <v>339</v>
      </c>
    </row>
    <row r="20" spans="1:3" ht="14.25" x14ac:dyDescent="0.2">
      <c r="A20" s="194"/>
      <c r="B20" s="228" t="s">
        <v>247</v>
      </c>
      <c r="C20" s="229">
        <v>0</v>
      </c>
    </row>
    <row r="21" spans="1:3" ht="14.25" x14ac:dyDescent="0.2">
      <c r="A21" s="194"/>
      <c r="B21" s="228" t="s">
        <v>248</v>
      </c>
      <c r="C21" s="229">
        <v>22</v>
      </c>
    </row>
    <row r="22" spans="1:3" ht="14.25" x14ac:dyDescent="0.2">
      <c r="A22" s="194"/>
      <c r="B22" s="230" t="s">
        <v>249</v>
      </c>
      <c r="C22" s="231">
        <v>0</v>
      </c>
    </row>
    <row r="23" spans="1:3" ht="14.25" x14ac:dyDescent="0.2">
      <c r="A23" s="194"/>
      <c r="B23" s="232" t="s">
        <v>250</v>
      </c>
      <c r="C23" s="231">
        <v>0</v>
      </c>
    </row>
    <row r="24" spans="1:3" ht="15" x14ac:dyDescent="0.25">
      <c r="A24" s="194" t="s">
        <v>251</v>
      </c>
      <c r="B24" s="223" t="s">
        <v>252</v>
      </c>
      <c r="C24" s="224"/>
    </row>
    <row r="25" spans="1:3" ht="14.25" x14ac:dyDescent="0.2">
      <c r="A25" s="194"/>
      <c r="B25" s="233" t="s">
        <v>253</v>
      </c>
      <c r="C25" s="234">
        <v>5183</v>
      </c>
    </row>
    <row r="26" spans="1:3" ht="14.25" x14ac:dyDescent="0.2">
      <c r="A26" s="194"/>
      <c r="B26" s="228" t="s">
        <v>254</v>
      </c>
      <c r="C26" s="229">
        <v>4918</v>
      </c>
    </row>
    <row r="27" spans="1:3" ht="14.25" x14ac:dyDescent="0.2">
      <c r="B27" s="228" t="s">
        <v>255</v>
      </c>
      <c r="C27" s="235">
        <f>C13-C14</f>
        <v>-265</v>
      </c>
    </row>
    <row r="28" spans="1:3" ht="14.25" x14ac:dyDescent="0.2">
      <c r="B28" s="236"/>
      <c r="C28" s="237"/>
    </row>
    <row r="29" spans="1:3" s="179" customFormat="1" ht="15" x14ac:dyDescent="0.25">
      <c r="B29" s="225" t="s">
        <v>256</v>
      </c>
      <c r="C29" s="238">
        <f>MEDIAN(C25,C26)</f>
        <v>5050.5</v>
      </c>
    </row>
    <row r="30" spans="1:3" ht="15" x14ac:dyDescent="0.25">
      <c r="B30" s="227" t="s">
        <v>257</v>
      </c>
      <c r="C30" s="239">
        <f>C16/C29</f>
        <v>0.28967428967428965</v>
      </c>
    </row>
    <row r="31" spans="1:3" ht="15" x14ac:dyDescent="0.25">
      <c r="B31" s="227" t="s">
        <v>258</v>
      </c>
      <c r="C31" s="239">
        <f>MEDIAN(C13,C14)/C29</f>
        <v>0.40877140877140877</v>
      </c>
    </row>
    <row r="32" spans="1:3" s="179" customFormat="1" ht="15" x14ac:dyDescent="0.25">
      <c r="B32" s="227" t="s">
        <v>259</v>
      </c>
      <c r="C32" s="240">
        <f>12/C31</f>
        <v>29.356260595785905</v>
      </c>
    </row>
    <row r="33" spans="2:3" ht="15" x14ac:dyDescent="0.25">
      <c r="B33" s="227" t="s">
        <v>260</v>
      </c>
      <c r="C33" s="241">
        <v>360</v>
      </c>
    </row>
    <row r="34" spans="2:3" ht="15" x14ac:dyDescent="0.25">
      <c r="B34" s="227" t="s">
        <v>261</v>
      </c>
      <c r="C34" s="241">
        <v>10</v>
      </c>
    </row>
    <row r="35" spans="2:3" ht="15" x14ac:dyDescent="0.25">
      <c r="B35" s="225" t="s">
        <v>262</v>
      </c>
      <c r="C35" s="242">
        <v>30</v>
      </c>
    </row>
    <row r="36" spans="2:3" ht="15" x14ac:dyDescent="0.25">
      <c r="B36" s="225" t="s">
        <v>263</v>
      </c>
      <c r="C36" s="242">
        <v>30</v>
      </c>
    </row>
    <row r="37" spans="2:3" s="179" customFormat="1" ht="15" x14ac:dyDescent="0.25">
      <c r="B37" s="225" t="s">
        <v>264</v>
      </c>
      <c r="C37" s="242">
        <f>30+(3*TRUNC(1/C31))</f>
        <v>36</v>
      </c>
    </row>
    <row r="38" spans="2:3" s="179" customFormat="1" ht="15" x14ac:dyDescent="0.25">
      <c r="B38" s="227" t="s">
        <v>194</v>
      </c>
      <c r="C38" s="243">
        <v>0.08</v>
      </c>
    </row>
    <row r="39" spans="2:3" s="179" customFormat="1" ht="15" x14ac:dyDescent="0.25">
      <c r="B39" s="244" t="s">
        <v>265</v>
      </c>
      <c r="C39" s="245">
        <v>0.4</v>
      </c>
    </row>
  </sheetData>
  <mergeCells count="3">
    <mergeCell ref="A5:C5"/>
    <mergeCell ref="A7:C7"/>
    <mergeCell ref="B11:C11"/>
  </mergeCells>
  <pageMargins left="0.905555555555556" right="0.51180555555555496" top="0.74791666666666701" bottom="0.74791666666666701" header="0.51180555555555496" footer="0.51180555555555496"/>
  <pageSetup paperSize="9" scale="98" firstPageNumber="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topLeftCell="A10" workbookViewId="0"/>
  </sheetViews>
  <sheetFormatPr defaultRowHeight="12.75" x14ac:dyDescent="0.2"/>
  <cols>
    <col min="1" max="1" width="41.85546875" customWidth="1"/>
    <col min="2" max="2" width="5.5703125" customWidth="1"/>
    <col min="3" max="3" width="8.7109375" customWidth="1"/>
    <col min="4" max="4" width="9.7109375" customWidth="1"/>
    <col min="5" max="5" width="8" style="246" customWidth="1"/>
    <col min="6" max="6" width="9.7109375" customWidth="1"/>
    <col min="7" max="1025" width="8.7109375" customWidth="1"/>
  </cols>
  <sheetData>
    <row r="1" spans="1:8" s="248" customFormat="1" ht="14.25" x14ac:dyDescent="0.2">
      <c r="A1" s="28" t="s">
        <v>0</v>
      </c>
      <c r="B1" s="247"/>
      <c r="C1" s="247"/>
      <c r="E1" s="249"/>
    </row>
    <row r="2" spans="1:8" s="248" customFormat="1" ht="14.25" x14ac:dyDescent="0.2">
      <c r="A2" s="195" t="s">
        <v>266</v>
      </c>
      <c r="B2" s="247"/>
      <c r="C2" s="247"/>
      <c r="E2" s="249"/>
    </row>
    <row r="3" spans="1:8" s="248" customFormat="1" ht="14.25" x14ac:dyDescent="0.2">
      <c r="A3" s="1" t="s">
        <v>267</v>
      </c>
      <c r="B3" s="247"/>
      <c r="C3" s="247"/>
      <c r="E3" s="249"/>
    </row>
    <row r="4" spans="1:8" s="248" customFormat="1" ht="14.25" x14ac:dyDescent="0.2">
      <c r="A4" s="1"/>
      <c r="B4" s="247"/>
      <c r="C4" s="247"/>
      <c r="E4" s="249"/>
    </row>
    <row r="5" spans="1:8" s="5" customFormat="1" ht="15.6" hidden="1" customHeight="1" x14ac:dyDescent="0.2">
      <c r="A5" s="10" t="s">
        <v>6</v>
      </c>
      <c r="B5" s="6"/>
      <c r="C5" s="6"/>
      <c r="D5" s="6"/>
      <c r="E5" s="6"/>
      <c r="F5" s="6"/>
      <c r="G5" s="7"/>
    </row>
    <row r="6" spans="1:8" s="5" customFormat="1" ht="16.5" customHeight="1" x14ac:dyDescent="0.2">
      <c r="A6" s="4" t="s">
        <v>268</v>
      </c>
      <c r="B6" s="11"/>
      <c r="C6" s="11"/>
      <c r="D6" s="7"/>
      <c r="E6" s="7"/>
      <c r="F6" s="7"/>
      <c r="G6" s="7"/>
    </row>
    <row r="7" spans="1:8" s="5" customFormat="1" ht="16.5" customHeight="1" x14ac:dyDescent="0.2">
      <c r="A7" s="4" t="s">
        <v>269</v>
      </c>
      <c r="B7" s="11"/>
      <c r="C7" s="11"/>
      <c r="D7" s="7"/>
      <c r="E7" s="7"/>
      <c r="F7" s="7"/>
      <c r="G7" s="7"/>
    </row>
    <row r="8" spans="1:8" s="248" customFormat="1" ht="14.25" x14ac:dyDescent="0.2">
      <c r="B8" s="247"/>
      <c r="C8" s="247"/>
      <c r="E8" s="249"/>
    </row>
    <row r="9" spans="1:8" ht="15.75" x14ac:dyDescent="0.2">
      <c r="A9" s="600" t="s">
        <v>270</v>
      </c>
      <c r="B9" s="600"/>
      <c r="C9" s="600"/>
      <c r="D9" s="600"/>
      <c r="E9" s="600"/>
      <c r="F9" s="600"/>
    </row>
    <row r="10" spans="1:8" ht="15.75" x14ac:dyDescent="0.2">
      <c r="A10" s="250"/>
      <c r="B10" s="251"/>
      <c r="C10" s="251"/>
      <c r="D10" s="251"/>
      <c r="E10" s="251"/>
      <c r="F10" s="252"/>
    </row>
    <row r="11" spans="1:8" ht="15" x14ac:dyDescent="0.25">
      <c r="A11" s="253"/>
      <c r="B11" s="254"/>
      <c r="C11" s="254"/>
      <c r="D11" s="601" t="s">
        <v>271</v>
      </c>
      <c r="E11" s="601"/>
      <c r="F11" s="601"/>
      <c r="G11" s="248"/>
      <c r="H11" s="248"/>
    </row>
    <row r="12" spans="1:8" ht="14.25" x14ac:dyDescent="0.2">
      <c r="A12" s="236"/>
      <c r="B12" s="255"/>
      <c r="C12" s="255"/>
      <c r="D12" s="256" t="s">
        <v>272</v>
      </c>
      <c r="E12" s="257" t="s">
        <v>273</v>
      </c>
      <c r="F12" s="258" t="s">
        <v>274</v>
      </c>
      <c r="G12" s="248"/>
      <c r="H12" s="248"/>
    </row>
    <row r="13" spans="1:8" ht="14.25" x14ac:dyDescent="0.2">
      <c r="A13" s="259" t="s">
        <v>275</v>
      </c>
      <c r="B13" s="260" t="s">
        <v>276</v>
      </c>
      <c r="C13" s="261">
        <v>0.05</v>
      </c>
      <c r="D13" s="262">
        <v>2.9700000000000001E-2</v>
      </c>
      <c r="E13" s="263">
        <v>5.0799999999999998E-2</v>
      </c>
      <c r="F13" s="264">
        <v>6.2700000000000006E-2</v>
      </c>
      <c r="G13" s="248"/>
      <c r="H13" s="248"/>
    </row>
    <row r="14" spans="1:8" ht="14.25" x14ac:dyDescent="0.2">
      <c r="A14" s="265" t="s">
        <v>277</v>
      </c>
      <c r="B14" s="266" t="s">
        <v>278</v>
      </c>
      <c r="C14" s="267">
        <v>1.3299999999999999E-2</v>
      </c>
      <c r="D14" s="262">
        <f>0.3%+0.56%</f>
        <v>8.6E-3</v>
      </c>
      <c r="E14" s="263">
        <f>0.48%+0.85%</f>
        <v>1.3299999999999999E-2</v>
      </c>
      <c r="F14" s="264">
        <f>0.82%+0.89%</f>
        <v>1.7099999999999997E-2</v>
      </c>
      <c r="G14" s="248"/>
      <c r="H14" s="248"/>
    </row>
    <row r="15" spans="1:8" ht="14.25" x14ac:dyDescent="0.2">
      <c r="A15" s="265" t="s">
        <v>167</v>
      </c>
      <c r="B15" s="266" t="s">
        <v>279</v>
      </c>
      <c r="C15" s="267">
        <v>0.1</v>
      </c>
      <c r="D15" s="262">
        <v>7.7799999999999994E-2</v>
      </c>
      <c r="E15" s="263">
        <v>0.1085</v>
      </c>
      <c r="F15" s="264">
        <v>0.13550000000000001</v>
      </c>
      <c r="G15" s="248"/>
      <c r="H15" s="248"/>
    </row>
    <row r="16" spans="1:8" ht="14.25" x14ac:dyDescent="0.2">
      <c r="A16" s="265" t="s">
        <v>280</v>
      </c>
      <c r="B16" s="266" t="s">
        <v>281</v>
      </c>
      <c r="C16" s="268">
        <f>(1+E16)^(E17/252)-1</f>
        <v>2.4086350729080053E-3</v>
      </c>
      <c r="D16" s="262" t="s">
        <v>282</v>
      </c>
      <c r="E16" s="269">
        <v>6.25E-2</v>
      </c>
      <c r="F16" s="270"/>
      <c r="G16" s="248"/>
      <c r="H16" s="248"/>
    </row>
    <row r="17" spans="1:8" ht="14.25" x14ac:dyDescent="0.2">
      <c r="A17" s="265" t="s">
        <v>283</v>
      </c>
      <c r="B17" s="602" t="s">
        <v>284</v>
      </c>
      <c r="C17" s="267">
        <v>0.02</v>
      </c>
      <c r="D17" s="271" t="s">
        <v>285</v>
      </c>
      <c r="E17" s="272">
        <v>10</v>
      </c>
      <c r="F17" s="273"/>
      <c r="G17" s="248"/>
      <c r="H17" s="248"/>
    </row>
    <row r="18" spans="1:8" ht="14.25" x14ac:dyDescent="0.2">
      <c r="A18" s="274" t="s">
        <v>286</v>
      </c>
      <c r="B18" s="602"/>
      <c r="C18" s="275">
        <v>3.6499999999999998E-2</v>
      </c>
      <c r="D18" s="228"/>
      <c r="E18" s="276"/>
      <c r="F18" s="273"/>
      <c r="G18" s="248"/>
      <c r="H18" s="248"/>
    </row>
    <row r="19" spans="1:8" ht="14.25" x14ac:dyDescent="0.2">
      <c r="A19" s="277" t="s">
        <v>287</v>
      </c>
      <c r="B19" s="278"/>
      <c r="C19" s="279"/>
      <c r="D19" s="228"/>
      <c r="E19" s="276"/>
      <c r="F19" s="273"/>
      <c r="G19" s="248"/>
      <c r="H19" s="248"/>
    </row>
    <row r="20" spans="1:8" ht="14.25" x14ac:dyDescent="0.2">
      <c r="A20" s="280" t="s">
        <v>288</v>
      </c>
      <c r="B20" s="281"/>
      <c r="C20" s="282"/>
      <c r="D20" s="228"/>
      <c r="E20" s="276"/>
      <c r="F20" s="273"/>
      <c r="G20" s="248"/>
      <c r="H20" s="248"/>
    </row>
    <row r="21" spans="1:8" ht="15" x14ac:dyDescent="0.2">
      <c r="A21" s="283" t="s">
        <v>289</v>
      </c>
      <c r="B21" s="284"/>
      <c r="C21" s="285">
        <f>ROUND((((1+C13+C14)*(1+C15)*(1+C16))/(1-(C17+C18))-1),4)</f>
        <v>0.2427</v>
      </c>
      <c r="D21" s="286">
        <v>0.21429999999999999</v>
      </c>
      <c r="E21" s="287">
        <v>0.2717</v>
      </c>
      <c r="F21" s="288">
        <v>0.3362</v>
      </c>
      <c r="G21" s="248"/>
      <c r="H21" s="248"/>
    </row>
  </sheetData>
  <mergeCells count="3">
    <mergeCell ref="A9:F9"/>
    <mergeCell ref="D11:F11"/>
    <mergeCell ref="B17:B18"/>
  </mergeCells>
  <pageMargins left="0.905555555555556" right="0.51180555555555496" top="0.74791666666666701" bottom="0.74791666666666701" header="0.51180555555555496" footer="0.51180555555555496"/>
  <pageSetup paperSize="9" firstPageNumber="0" orientation="portrait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14"/>
  <sheetViews>
    <sheetView workbookViewId="0"/>
  </sheetViews>
  <sheetFormatPr defaultRowHeight="15" x14ac:dyDescent="0.25"/>
  <cols>
    <col min="1" max="1" width="18.28515625" style="289" customWidth="1"/>
    <col min="2" max="2" width="21.28515625" style="289" customWidth="1"/>
    <col min="3" max="3" width="18.28515625" style="289" bestFit="1" customWidth="1"/>
    <col min="4" max="4" width="15.42578125" style="289" customWidth="1"/>
    <col min="5" max="5" width="8.85546875" style="289" customWidth="1"/>
    <col min="6" max="7" width="11.42578125" style="289" hidden="1" customWidth="1"/>
    <col min="8" max="8" width="11.42578125" style="289" customWidth="1"/>
    <col min="9" max="9" width="8.85546875" style="289" customWidth="1"/>
    <col min="10" max="11" width="11.28515625" style="289" customWidth="1"/>
    <col min="12" max="1025" width="8.85546875" style="289" customWidth="1"/>
  </cols>
  <sheetData>
    <row r="1" spans="1:7" ht="15.75" x14ac:dyDescent="0.25">
      <c r="A1" s="290" t="s">
        <v>426</v>
      </c>
    </row>
    <row r="2" spans="1:7" ht="15.75" x14ac:dyDescent="0.25">
      <c r="A2" s="290" t="s">
        <v>455</v>
      </c>
    </row>
    <row r="3" spans="1:7" ht="15.75" x14ac:dyDescent="0.25">
      <c r="A3" s="290" t="s">
        <v>456</v>
      </c>
    </row>
    <row r="4" spans="1:7" x14ac:dyDescent="0.25">
      <c r="A4" s="291"/>
    </row>
    <row r="5" spans="1:7" x14ac:dyDescent="0.25">
      <c r="A5" s="603" t="s">
        <v>322</v>
      </c>
      <c r="B5" s="603"/>
      <c r="C5" s="603"/>
      <c r="D5" s="603"/>
      <c r="F5" s="293" t="s">
        <v>290</v>
      </c>
      <c r="G5" s="293" t="s">
        <v>290</v>
      </c>
    </row>
    <row r="6" spans="1:7" x14ac:dyDescent="0.25">
      <c r="A6" s="292" t="s">
        <v>162</v>
      </c>
      <c r="B6" s="314" t="s">
        <v>323</v>
      </c>
      <c r="C6" s="326" t="s">
        <v>391</v>
      </c>
      <c r="D6" s="314" t="s">
        <v>324</v>
      </c>
      <c r="F6" s="294">
        <v>108.51</v>
      </c>
      <c r="G6" s="294"/>
    </row>
    <row r="7" spans="1:7" x14ac:dyDescent="0.25">
      <c r="A7" s="295">
        <v>1</v>
      </c>
      <c r="B7" s="296">
        <v>10</v>
      </c>
      <c r="C7" s="574" t="s">
        <v>392</v>
      </c>
      <c r="D7" s="297">
        <f>B7*12</f>
        <v>120</v>
      </c>
      <c r="F7" s="294"/>
      <c r="G7" s="294"/>
    </row>
    <row r="8" spans="1:7" x14ac:dyDescent="0.25">
      <c r="A8" s="295">
        <v>2</v>
      </c>
      <c r="B8" s="296">
        <v>10</v>
      </c>
      <c r="C8" s="298" t="s">
        <v>393</v>
      </c>
      <c r="D8" s="302">
        <f>B8*12</f>
        <v>120</v>
      </c>
      <c r="F8" s="294"/>
      <c r="G8" s="294"/>
    </row>
    <row r="9" spans="1:7" x14ac:dyDescent="0.25">
      <c r="A9" s="603" t="s">
        <v>325</v>
      </c>
      <c r="B9" s="603"/>
      <c r="C9" s="299"/>
      <c r="D9" s="300">
        <f>SUM(D7:D8)</f>
        <v>240</v>
      </c>
    </row>
    <row r="14" spans="1:7" x14ac:dyDescent="0.25">
      <c r="D14" s="301"/>
    </row>
  </sheetData>
  <mergeCells count="2">
    <mergeCell ref="A5:D5"/>
    <mergeCell ref="A9:B9"/>
  </mergeCells>
  <pageMargins left="0.51180555555555496" right="0.51180555555555496" top="0.78749999999999998" bottom="0.78749999999999998" header="0.51180555555555496" footer="0.51180555555555496"/>
  <pageSetup paperSize="9" firstPageNumber="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7"/>
  <sheetViews>
    <sheetView topLeftCell="A13" workbookViewId="0"/>
  </sheetViews>
  <sheetFormatPr defaultColWidth="8.85546875" defaultRowHeight="15" x14ac:dyDescent="0.25"/>
  <cols>
    <col min="1" max="1" width="9.7109375" style="328" customWidth="1"/>
    <col min="2" max="2" width="11.5703125" style="328" customWidth="1"/>
    <col min="3" max="3" width="14.140625" style="328" customWidth="1"/>
    <col min="4" max="4" width="7.140625" style="328" customWidth="1"/>
    <col min="5" max="5" width="9.140625" style="328" bestFit="1" customWidth="1"/>
    <col min="6" max="6" width="8" style="328" bestFit="1" customWidth="1"/>
    <col min="7" max="7" width="7" style="328" bestFit="1" customWidth="1"/>
    <col min="8" max="8" width="9.28515625" style="328" bestFit="1" customWidth="1"/>
    <col min="9" max="9" width="7" style="328" bestFit="1" customWidth="1"/>
    <col min="10" max="10" width="8.85546875" style="328" customWidth="1"/>
    <col min="11" max="15" width="0" style="328" hidden="1" customWidth="1"/>
    <col min="16" max="16384" width="8.85546875" style="328"/>
  </cols>
  <sheetData>
    <row r="1" spans="1:15" ht="15.75" x14ac:dyDescent="0.25">
      <c r="A1" s="327" t="s">
        <v>426</v>
      </c>
    </row>
    <row r="2" spans="1:15" x14ac:dyDescent="0.25">
      <c r="A2" s="329" t="s">
        <v>430</v>
      </c>
    </row>
    <row r="3" spans="1:15" ht="15.75" thickBot="1" x14ac:dyDescent="0.3">
      <c r="A3" s="329" t="s">
        <v>457</v>
      </c>
    </row>
    <row r="4" spans="1:15" ht="30.75" thickBot="1" x14ac:dyDescent="0.3">
      <c r="A4" s="330" t="s">
        <v>339</v>
      </c>
      <c r="B4" s="331" t="s">
        <v>375</v>
      </c>
      <c r="C4" s="331" t="s">
        <v>293</v>
      </c>
      <c r="D4" s="332" t="s">
        <v>291</v>
      </c>
      <c r="E4" s="331" t="s">
        <v>292</v>
      </c>
      <c r="F4" s="331" t="s">
        <v>294</v>
      </c>
      <c r="G4" s="331" t="s">
        <v>295</v>
      </c>
      <c r="H4" s="333" t="s">
        <v>376</v>
      </c>
      <c r="I4" s="333" t="s">
        <v>377</v>
      </c>
      <c r="J4" s="334"/>
      <c r="K4" s="334"/>
    </row>
    <row r="5" spans="1:15" x14ac:dyDescent="0.25">
      <c r="A5" s="604" t="s">
        <v>351</v>
      </c>
      <c r="B5" s="606" t="s">
        <v>378</v>
      </c>
      <c r="C5" s="608" t="s">
        <v>395</v>
      </c>
      <c r="D5" s="335">
        <v>2</v>
      </c>
      <c r="E5" s="336" t="s">
        <v>379</v>
      </c>
      <c r="F5" s="337">
        <v>0.33333333333333331</v>
      </c>
      <c r="G5" s="337">
        <v>0.70833333333333337</v>
      </c>
      <c r="H5" s="337">
        <v>0.33333333333333331</v>
      </c>
      <c r="I5" s="338">
        <f>D5*8*1</f>
        <v>16</v>
      </c>
      <c r="J5" s="334"/>
      <c r="K5" s="339" t="e">
        <f>I5+#REF!+#REF!+#REF!+#REF!</f>
        <v>#REF!</v>
      </c>
      <c r="O5" s="340" t="e">
        <f>I6+#REF!+#REF!+#REF!+#REF!</f>
        <v>#REF!</v>
      </c>
    </row>
    <row r="6" spans="1:15" ht="15.75" thickBot="1" x14ac:dyDescent="0.3">
      <c r="A6" s="605"/>
      <c r="B6" s="607"/>
      <c r="C6" s="609"/>
      <c r="D6" s="341">
        <v>1</v>
      </c>
      <c r="E6" s="342" t="s">
        <v>331</v>
      </c>
      <c r="F6" s="343">
        <v>0.33333333333333331</v>
      </c>
      <c r="G6" s="343">
        <v>0.70833333333333337</v>
      </c>
      <c r="H6" s="343">
        <v>0.33333333333333331</v>
      </c>
      <c r="I6" s="344">
        <f>D6*8*1</f>
        <v>8</v>
      </c>
      <c r="J6" s="334"/>
      <c r="K6" s="334">
        <v>6</v>
      </c>
      <c r="O6" s="328">
        <v>2</v>
      </c>
    </row>
    <row r="7" spans="1:15" x14ac:dyDescent="0.25">
      <c r="A7" s="604" t="s">
        <v>351</v>
      </c>
      <c r="B7" s="606" t="s">
        <v>380</v>
      </c>
      <c r="C7" s="608" t="s">
        <v>396</v>
      </c>
      <c r="D7" s="335">
        <v>2</v>
      </c>
      <c r="E7" s="336" t="s">
        <v>379</v>
      </c>
      <c r="F7" s="337">
        <v>0.33333333333333331</v>
      </c>
      <c r="G7" s="337">
        <v>0.70833333333333337</v>
      </c>
      <c r="H7" s="337">
        <v>0.33333333333333331</v>
      </c>
      <c r="I7" s="338">
        <f>D7*8*1</f>
        <v>16</v>
      </c>
      <c r="J7" s="334"/>
      <c r="K7" s="339" t="e">
        <f>I7+#REF!+#REF!+#REF!+#REF!</f>
        <v>#REF!</v>
      </c>
      <c r="L7" s="345">
        <v>15</v>
      </c>
      <c r="M7" s="345">
        <v>12</v>
      </c>
      <c r="N7" s="345">
        <v>6</v>
      </c>
      <c r="O7" s="340" t="e">
        <f>I8+#REF!+#REF!+#REF!+#REF!</f>
        <v>#REF!</v>
      </c>
    </row>
    <row r="8" spans="1:15" ht="15.75" thickBot="1" x14ac:dyDescent="0.3">
      <c r="A8" s="605"/>
      <c r="B8" s="607"/>
      <c r="C8" s="609"/>
      <c r="D8" s="341">
        <v>1</v>
      </c>
      <c r="E8" s="342" t="s">
        <v>331</v>
      </c>
      <c r="F8" s="343">
        <v>0.33333333333333331</v>
      </c>
      <c r="G8" s="343">
        <v>0.70833333333333337</v>
      </c>
      <c r="H8" s="343">
        <v>0.33333333333333331</v>
      </c>
      <c r="I8" s="344">
        <f>D8*8*1</f>
        <v>8</v>
      </c>
      <c r="J8" s="334"/>
      <c r="K8" s="334" t="e">
        <f>K7/3</f>
        <v>#REF!</v>
      </c>
      <c r="L8" s="345">
        <v>45</v>
      </c>
      <c r="M8" s="345">
        <v>30</v>
      </c>
      <c r="N8" s="345">
        <v>10</v>
      </c>
      <c r="O8" s="328">
        <v>1</v>
      </c>
    </row>
    <row r="9" spans="1:15" x14ac:dyDescent="0.25">
      <c r="A9" s="346"/>
      <c r="B9" s="347"/>
      <c r="C9" s="348"/>
      <c r="D9" s="349"/>
      <c r="E9" s="350"/>
      <c r="F9" s="351"/>
      <c r="G9" s="351"/>
      <c r="H9" s="351"/>
      <c r="I9" s="352"/>
      <c r="J9" s="334"/>
      <c r="K9" s="334"/>
      <c r="L9" s="345"/>
      <c r="M9" s="345"/>
      <c r="N9" s="345"/>
    </row>
    <row r="10" spans="1:15" x14ac:dyDescent="0.25">
      <c r="A10" s="346"/>
      <c r="B10" s="347"/>
      <c r="C10" s="348"/>
      <c r="D10" s="349"/>
      <c r="E10" s="350"/>
      <c r="F10" s="351"/>
      <c r="G10" s="351"/>
      <c r="H10" s="351"/>
      <c r="I10" s="352"/>
      <c r="J10" s="334"/>
      <c r="K10" s="334"/>
      <c r="L10" s="345"/>
      <c r="M10" s="345"/>
      <c r="N10" s="345"/>
    </row>
    <row r="11" spans="1:15" x14ac:dyDescent="0.25">
      <c r="A11" s="353" t="s">
        <v>304</v>
      </c>
      <c r="B11" s="353"/>
      <c r="C11" s="353"/>
      <c r="D11" s="353"/>
      <c r="E11" s="353"/>
      <c r="F11" s="353"/>
      <c r="G11" s="353"/>
      <c r="H11" s="353"/>
      <c r="L11" s="345"/>
      <c r="M11" s="345"/>
      <c r="N11" s="345"/>
    </row>
    <row r="12" spans="1:15" x14ac:dyDescent="0.25">
      <c r="A12" s="354" t="s">
        <v>397</v>
      </c>
      <c r="B12" s="355"/>
      <c r="C12" s="355"/>
      <c r="D12" s="355"/>
      <c r="E12" s="355"/>
      <c r="F12" s="355"/>
      <c r="G12" s="356"/>
    </row>
    <row r="13" spans="1:15" x14ac:dyDescent="0.25">
      <c r="A13" s="357" t="s">
        <v>381</v>
      </c>
      <c r="B13" s="358"/>
      <c r="C13" s="358"/>
      <c r="D13" s="358"/>
      <c r="E13" s="358"/>
      <c r="F13" s="358"/>
      <c r="G13" s="345">
        <v>8</v>
      </c>
      <c r="L13" s="359" t="e">
        <f>#REF!/4</f>
        <v>#REF!</v>
      </c>
      <c r="M13" s="360" t="e">
        <f>#REF!/3</f>
        <v>#REF!</v>
      </c>
      <c r="N13" s="360" t="e">
        <f>#REF!/3</f>
        <v>#REF!</v>
      </c>
    </row>
    <row r="14" spans="1:15" x14ac:dyDescent="0.25">
      <c r="A14" s="361" t="s">
        <v>296</v>
      </c>
      <c r="B14" s="358"/>
      <c r="C14" s="358"/>
      <c r="D14" s="358"/>
      <c r="E14" s="358"/>
      <c r="F14" s="358"/>
      <c r="G14" s="345">
        <v>0.5</v>
      </c>
    </row>
    <row r="15" spans="1:15" x14ac:dyDescent="0.25">
      <c r="A15" s="357" t="s">
        <v>297</v>
      </c>
      <c r="B15" s="358"/>
      <c r="C15" s="358"/>
      <c r="D15" s="358"/>
      <c r="E15" s="358"/>
      <c r="F15" s="358"/>
      <c r="G15" s="345">
        <f>G13*G14</f>
        <v>4</v>
      </c>
    </row>
    <row r="16" spans="1:15" x14ac:dyDescent="0.25">
      <c r="A16" s="357" t="s">
        <v>298</v>
      </c>
      <c r="B16" s="358"/>
      <c r="C16" s="358"/>
      <c r="D16" s="358"/>
      <c r="E16" s="358"/>
      <c r="F16" s="358"/>
      <c r="G16" s="345">
        <v>6</v>
      </c>
    </row>
    <row r="17" spans="1:9" x14ac:dyDescent="0.25">
      <c r="A17" s="357" t="s">
        <v>299</v>
      </c>
      <c r="B17" s="358"/>
      <c r="C17" s="358"/>
      <c r="D17" s="358"/>
      <c r="E17" s="358"/>
      <c r="F17" s="358"/>
      <c r="G17" s="345">
        <v>7</v>
      </c>
    </row>
    <row r="18" spans="1:9" x14ac:dyDescent="0.25">
      <c r="A18" s="357" t="s">
        <v>300</v>
      </c>
      <c r="B18" s="358"/>
      <c r="C18" s="358"/>
      <c r="D18" s="358"/>
      <c r="E18" s="358"/>
      <c r="F18" s="358"/>
      <c r="G18" s="362">
        <f>G15/G16</f>
        <v>0.66666666666666663</v>
      </c>
    </row>
    <row r="19" spans="1:9" x14ac:dyDescent="0.25">
      <c r="A19" s="357" t="s">
        <v>301</v>
      </c>
      <c r="B19" s="358"/>
      <c r="C19" s="358"/>
      <c r="D19" s="358"/>
      <c r="E19" s="358"/>
      <c r="F19" s="358"/>
      <c r="G19" s="345">
        <v>30</v>
      </c>
    </row>
    <row r="20" spans="1:9" x14ac:dyDescent="0.25">
      <c r="A20" s="363" t="s">
        <v>302</v>
      </c>
      <c r="B20" s="364"/>
      <c r="C20" s="364"/>
      <c r="D20" s="364"/>
      <c r="E20" s="364"/>
      <c r="F20" s="364"/>
      <c r="G20" s="365">
        <f>G18*G19</f>
        <v>20</v>
      </c>
    </row>
    <row r="21" spans="1:9" x14ac:dyDescent="0.25">
      <c r="A21" s="363" t="s">
        <v>303</v>
      </c>
      <c r="B21" s="364"/>
      <c r="C21" s="364"/>
      <c r="D21" s="364"/>
      <c r="E21" s="364"/>
      <c r="F21" s="364"/>
      <c r="G21" s="365">
        <v>220</v>
      </c>
    </row>
    <row r="22" spans="1:9" x14ac:dyDescent="0.25">
      <c r="A22" s="363" t="s">
        <v>304</v>
      </c>
      <c r="B22" s="364"/>
      <c r="C22" s="364"/>
      <c r="D22" s="364"/>
      <c r="E22" s="364"/>
      <c r="F22" s="364"/>
      <c r="G22" s="366">
        <f>G20/G21</f>
        <v>9.0909090909090912E-2</v>
      </c>
    </row>
    <row r="23" spans="1:9" x14ac:dyDescent="0.25">
      <c r="A23" s="367"/>
      <c r="B23" s="368"/>
      <c r="C23" s="368"/>
      <c r="D23" s="368"/>
      <c r="E23" s="368"/>
      <c r="F23" s="368"/>
      <c r="G23" s="369"/>
    </row>
    <row r="24" spans="1:9" x14ac:dyDescent="0.25">
      <c r="A24" s="370" t="s">
        <v>431</v>
      </c>
      <c r="B24" s="368"/>
      <c r="C24" s="368"/>
      <c r="D24" s="368"/>
      <c r="E24" s="368"/>
      <c r="F24" s="368"/>
      <c r="G24" s="369"/>
    </row>
    <row r="25" spans="1:9" x14ac:dyDescent="0.25">
      <c r="A25" s="357" t="s">
        <v>381</v>
      </c>
      <c r="B25" s="358"/>
      <c r="C25" s="358"/>
      <c r="D25" s="358"/>
      <c r="E25" s="358"/>
      <c r="F25" s="358"/>
      <c r="G25" s="345">
        <v>8</v>
      </c>
    </row>
    <row r="26" spans="1:9" x14ac:dyDescent="0.25">
      <c r="A26" s="361" t="s">
        <v>296</v>
      </c>
      <c r="B26" s="358"/>
      <c r="C26" s="358"/>
      <c r="D26" s="358"/>
      <c r="E26" s="358"/>
      <c r="F26" s="358"/>
      <c r="G26" s="345">
        <v>0.5</v>
      </c>
    </row>
    <row r="27" spans="1:9" x14ac:dyDescent="0.25">
      <c r="A27" s="357" t="s">
        <v>297</v>
      </c>
      <c r="B27" s="358"/>
      <c r="C27" s="358"/>
      <c r="D27" s="358"/>
      <c r="E27" s="358"/>
      <c r="F27" s="358"/>
      <c r="G27" s="345">
        <f>G25*G26</f>
        <v>4</v>
      </c>
      <c r="I27" s="371"/>
    </row>
    <row r="28" spans="1:9" x14ac:dyDescent="0.25">
      <c r="A28" s="357" t="s">
        <v>298</v>
      </c>
      <c r="B28" s="358"/>
      <c r="C28" s="358"/>
      <c r="D28" s="358"/>
      <c r="E28" s="358"/>
      <c r="F28" s="358"/>
      <c r="G28" s="345">
        <v>6</v>
      </c>
    </row>
    <row r="29" spans="1:9" x14ac:dyDescent="0.25">
      <c r="A29" s="357" t="s">
        <v>299</v>
      </c>
      <c r="B29" s="358"/>
      <c r="C29" s="358"/>
      <c r="D29" s="358"/>
      <c r="E29" s="358"/>
      <c r="F29" s="358"/>
      <c r="G29" s="345">
        <v>7</v>
      </c>
    </row>
    <row r="30" spans="1:9" x14ac:dyDescent="0.25">
      <c r="A30" s="357" t="s">
        <v>300</v>
      </c>
      <c r="B30" s="358"/>
      <c r="C30" s="358"/>
      <c r="D30" s="358"/>
      <c r="E30" s="358"/>
      <c r="F30" s="358"/>
      <c r="G30" s="372">
        <f>G27/G28</f>
        <v>0.66666666666666663</v>
      </c>
    </row>
    <row r="31" spans="1:9" x14ac:dyDescent="0.25">
      <c r="A31" s="357" t="s">
        <v>301</v>
      </c>
      <c r="B31" s="358"/>
      <c r="C31" s="358"/>
      <c r="D31" s="358"/>
      <c r="E31" s="358"/>
      <c r="F31" s="358"/>
      <c r="G31" s="345">
        <v>30</v>
      </c>
    </row>
    <row r="32" spans="1:9" x14ac:dyDescent="0.25">
      <c r="A32" s="363" t="s">
        <v>302</v>
      </c>
      <c r="B32" s="364"/>
      <c r="C32" s="364"/>
      <c r="D32" s="364"/>
      <c r="E32" s="364"/>
      <c r="F32" s="364"/>
      <c r="G32" s="373">
        <f>G30*G31</f>
        <v>20</v>
      </c>
    </row>
    <row r="33" spans="1:7" x14ac:dyDescent="0.25">
      <c r="A33" s="363" t="s">
        <v>303</v>
      </c>
      <c r="B33" s="364"/>
      <c r="C33" s="364"/>
      <c r="D33" s="364"/>
      <c r="E33" s="364"/>
      <c r="F33" s="364"/>
      <c r="G33" s="365">
        <v>220</v>
      </c>
    </row>
    <row r="34" spans="1:7" x14ac:dyDescent="0.25">
      <c r="A34" s="363" t="s">
        <v>304</v>
      </c>
      <c r="B34" s="364"/>
      <c r="C34" s="364"/>
      <c r="D34" s="364"/>
      <c r="E34" s="364"/>
      <c r="F34" s="364"/>
      <c r="G34" s="366">
        <f>G32/G33</f>
        <v>9.0909090909090912E-2</v>
      </c>
    </row>
    <row r="35" spans="1:7" x14ac:dyDescent="0.25">
      <c r="A35" s="370"/>
      <c r="B35" s="353"/>
      <c r="C35" s="353"/>
      <c r="D35" s="353"/>
      <c r="E35" s="353"/>
      <c r="F35" s="353"/>
      <c r="G35" s="374"/>
    </row>
    <row r="36" spans="1:7" x14ac:dyDescent="0.25">
      <c r="A36" s="370" t="s">
        <v>398</v>
      </c>
      <c r="B36" s="368"/>
      <c r="C36" s="368"/>
      <c r="D36" s="368"/>
      <c r="E36" s="368"/>
      <c r="F36" s="368"/>
      <c r="G36" s="369"/>
    </row>
    <row r="37" spans="1:7" x14ac:dyDescent="0.25">
      <c r="A37" s="361" t="s">
        <v>382</v>
      </c>
      <c r="B37" s="358"/>
      <c r="C37" s="358"/>
      <c r="D37" s="358"/>
      <c r="E37" s="358"/>
      <c r="F37" s="358"/>
      <c r="G37" s="345">
        <v>4</v>
      </c>
    </row>
    <row r="38" spans="1:7" x14ac:dyDescent="0.25">
      <c r="A38" s="361" t="s">
        <v>296</v>
      </c>
      <c r="B38" s="358"/>
      <c r="C38" s="358"/>
      <c r="D38" s="358"/>
      <c r="E38" s="358"/>
      <c r="F38" s="358"/>
      <c r="G38" s="345">
        <v>5</v>
      </c>
    </row>
    <row r="39" spans="1:7" x14ac:dyDescent="0.25">
      <c r="A39" s="357" t="s">
        <v>297</v>
      </c>
      <c r="B39" s="358"/>
      <c r="C39" s="358"/>
      <c r="D39" s="358"/>
      <c r="E39" s="358"/>
      <c r="F39" s="358"/>
      <c r="G39" s="345">
        <f>G37*G38</f>
        <v>20</v>
      </c>
    </row>
    <row r="40" spans="1:7" x14ac:dyDescent="0.25">
      <c r="A40" s="357" t="s">
        <v>298</v>
      </c>
      <c r="B40" s="358"/>
      <c r="C40" s="358"/>
      <c r="D40" s="358"/>
      <c r="E40" s="358"/>
      <c r="F40" s="358"/>
      <c r="G40" s="345">
        <v>6</v>
      </c>
    </row>
    <row r="41" spans="1:7" x14ac:dyDescent="0.25">
      <c r="A41" s="357" t="s">
        <v>299</v>
      </c>
      <c r="B41" s="358"/>
      <c r="C41" s="358"/>
      <c r="D41" s="358"/>
      <c r="E41" s="358"/>
      <c r="F41" s="358"/>
      <c r="G41" s="345">
        <v>7</v>
      </c>
    </row>
    <row r="42" spans="1:7" x14ac:dyDescent="0.25">
      <c r="A42" s="357" t="s">
        <v>300</v>
      </c>
      <c r="B42" s="358"/>
      <c r="C42" s="358"/>
      <c r="D42" s="358"/>
      <c r="E42" s="358"/>
      <c r="F42" s="358"/>
      <c r="G42" s="372">
        <f>G39/G40</f>
        <v>3.3333333333333335</v>
      </c>
    </row>
    <row r="43" spans="1:7" x14ac:dyDescent="0.25">
      <c r="A43" s="357" t="s">
        <v>301</v>
      </c>
      <c r="B43" s="358"/>
      <c r="C43" s="358"/>
      <c r="D43" s="358"/>
      <c r="E43" s="358"/>
      <c r="F43" s="358"/>
      <c r="G43" s="345">
        <v>30</v>
      </c>
    </row>
    <row r="44" spans="1:7" x14ac:dyDescent="0.25">
      <c r="A44" s="363" t="s">
        <v>302</v>
      </c>
      <c r="B44" s="364"/>
      <c r="C44" s="364"/>
      <c r="D44" s="364"/>
      <c r="E44" s="364"/>
      <c r="F44" s="364"/>
      <c r="G44" s="365">
        <f>G42*G43</f>
        <v>100</v>
      </c>
    </row>
    <row r="45" spans="1:7" x14ac:dyDescent="0.25">
      <c r="A45" s="363" t="s">
        <v>303</v>
      </c>
      <c r="B45" s="364"/>
      <c r="C45" s="364"/>
      <c r="D45" s="364"/>
      <c r="E45" s="364"/>
      <c r="F45" s="364"/>
      <c r="G45" s="365">
        <v>220</v>
      </c>
    </row>
    <row r="46" spans="1:7" x14ac:dyDescent="0.25">
      <c r="A46" s="363" t="s">
        <v>304</v>
      </c>
      <c r="B46" s="364"/>
      <c r="C46" s="364"/>
      <c r="D46" s="364"/>
      <c r="E46" s="364"/>
      <c r="F46" s="364"/>
      <c r="G46" s="366">
        <f>G44/G45</f>
        <v>0.45454545454545453</v>
      </c>
    </row>
    <row r="47" spans="1:7" x14ac:dyDescent="0.25">
      <c r="A47" s="370"/>
      <c r="B47" s="353"/>
      <c r="C47" s="353"/>
      <c r="D47" s="353"/>
      <c r="E47" s="353"/>
      <c r="F47" s="353"/>
      <c r="G47" s="374"/>
    </row>
  </sheetData>
  <mergeCells count="6">
    <mergeCell ref="A5:A6"/>
    <mergeCell ref="B5:B6"/>
    <mergeCell ref="C5:C6"/>
    <mergeCell ref="A7:A8"/>
    <mergeCell ref="B7:B8"/>
    <mergeCell ref="C7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1. Coleta Volumosos </vt:lpstr>
      <vt:lpstr>2. Coleta Res Veg</vt:lpstr>
      <vt:lpstr>3. Eco Ponto</vt:lpstr>
      <vt:lpstr>4. Resumo</vt:lpstr>
      <vt:lpstr>5.Encargos Sociais</vt:lpstr>
      <vt:lpstr>6.CAGED</vt:lpstr>
      <vt:lpstr>7.BDI</vt:lpstr>
      <vt:lpstr>8.Ton</vt:lpstr>
      <vt:lpstr>9 Horarios</vt:lpstr>
      <vt:lpstr>10. Roteiros</vt:lpstr>
      <vt:lpstr>11. Depreciação</vt:lpstr>
      <vt:lpstr>12.Remuneração de capital</vt:lpstr>
      <vt:lpstr>AbaDeprec</vt:lpstr>
      <vt:lpstr>AbaRemun</vt:lpstr>
      <vt:lpstr>'1. Coleta Volumosos '!Area_de_impressao</vt:lpstr>
      <vt:lpstr>'10. Roteiros'!Area_de_impressao</vt:lpstr>
      <vt:lpstr>'2. Coleta Res Veg'!Area_de_impressao</vt:lpstr>
      <vt:lpstr>'3. Eco Ponto'!Area_de_impressao</vt:lpstr>
      <vt:lpstr>'5.Encargos Sociais'!Area_de_impressao</vt:lpstr>
      <vt:lpstr>'1. Coleta Volumosos '!Titulos_de_impressao</vt:lpstr>
      <vt:lpstr>'2. Coleta Res Veg'!Titulos_de_impressao</vt:lpstr>
      <vt:lpstr>'3. Eco Ponto'!Titulos_de_impressao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revision>1</cp:revision>
  <cp:lastPrinted>2021-10-20T23:36:21Z</cp:lastPrinted>
  <dcterms:created xsi:type="dcterms:W3CDTF">2000-12-13T10:02:50Z</dcterms:created>
  <dcterms:modified xsi:type="dcterms:W3CDTF">2021-11-09T13:13:15Z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dmlu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