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o\EDITAIS DE LICITACOES\EDITAIS DE LICITAÇÃO - ANO 2023\PREGÃO PRESENCIAL 2023\PREGAO PRESENCIAL 25_2023 - Triagem dos Resíduos Orgânicos e Seletivos\"/>
    </mc:Choice>
  </mc:AlternateContent>
  <xr:revisionPtr revIDLastSave="0" documentId="13_ncr:1_{D0F72F3C-B992-4645-A5E2-15E59A40CF33}" xr6:coauthVersionLast="47" xr6:coauthVersionMax="47" xr10:uidLastSave="{00000000-0000-0000-0000-000000000000}"/>
  <bookViews>
    <workbookView xWindow="-120" yWindow="-120" windowWidth="29040" windowHeight="15840" tabRatio="802" activeTab="1" xr2:uid="{00000000-000D-0000-FFFF-FFFF00000000}"/>
  </bookViews>
  <sheets>
    <sheet name="1. Triagem" sheetId="13" r:id="rId1"/>
    <sheet name="2 Resumo" sheetId="16" r:id="rId2"/>
    <sheet name="3.Encargos Sociais" sheetId="8" r:id="rId3"/>
    <sheet name="4.CAGED" sheetId="5" r:id="rId4"/>
    <sheet name="5.BDI" sheetId="4" r:id="rId5"/>
    <sheet name="6.Horários" sheetId="11" r:id="rId6"/>
    <sheet name="7.Remuneração de capital" sheetId="7" r:id="rId7"/>
  </sheets>
  <definedNames>
    <definedName name="AbaDeprec">#REF!</definedName>
    <definedName name="AbaRemun" localSheetId="1">#REF!</definedName>
    <definedName name="AbaRemun" localSheetId="5">#REF!</definedName>
    <definedName name="AbaRemun">'7.Remuneração de capital'!$A$1</definedName>
    <definedName name="_xlnm.Print_Area" localSheetId="0">'1. Triagem'!$A$3:$F$292</definedName>
    <definedName name="_xlnm.Print_Area" localSheetId="2">'3.Encargos Sociais'!$A$1:$C$40</definedName>
    <definedName name="_xlnm.Print_Titles" localSheetId="0">'1. Triagem'!$1:$8</definedName>
  </definedNames>
  <calcPr calcId="191029"/>
</workbook>
</file>

<file path=xl/calcChain.xml><?xml version="1.0" encoding="utf-8"?>
<calcChain xmlns="http://schemas.openxmlformats.org/spreadsheetml/2006/main">
  <c r="C248" i="13" l="1"/>
  <c r="D136" i="13" l="1"/>
  <c r="E248" i="13" l="1"/>
  <c r="E260" i="13" l="1"/>
  <c r="C66" i="13" l="1"/>
  <c r="C161" i="13" l="1"/>
  <c r="A142" i="13" l="1"/>
  <c r="E242" i="13"/>
  <c r="C129" i="13" l="1"/>
  <c r="C130" i="13"/>
  <c r="C128" i="13"/>
  <c r="C127" i="13"/>
  <c r="E268" i="13"/>
  <c r="F269" i="13" l="1"/>
  <c r="E261" i="13"/>
  <c r="E259" i="13"/>
  <c r="E258" i="13"/>
  <c r="E257" i="13"/>
  <c r="E256" i="13"/>
  <c r="E247" i="13"/>
  <c r="F249" i="13" s="1"/>
  <c r="D235" i="13"/>
  <c r="D233" i="13"/>
  <c r="D231" i="13"/>
  <c r="D229" i="13"/>
  <c r="D227" i="13"/>
  <c r="C227" i="13"/>
  <c r="C235" i="13" s="1"/>
  <c r="C217" i="13"/>
  <c r="E217" i="13" s="1"/>
  <c r="C216" i="13"/>
  <c r="E216" i="13" s="1"/>
  <c r="C215" i="13"/>
  <c r="C210" i="13"/>
  <c r="C205" i="13"/>
  <c r="D204" i="13"/>
  <c r="D199" i="13"/>
  <c r="E199" i="13" s="1"/>
  <c r="C192" i="13"/>
  <c r="C191" i="13"/>
  <c r="C188" i="13"/>
  <c r="C204" i="13" s="1"/>
  <c r="C187" i="13"/>
  <c r="C186" i="13"/>
  <c r="E183" i="13"/>
  <c r="D215" i="13" s="1"/>
  <c r="D171" i="13"/>
  <c r="C171" i="13"/>
  <c r="D170" i="13"/>
  <c r="C170" i="13"/>
  <c r="D169" i="13"/>
  <c r="C169" i="13"/>
  <c r="D168" i="13"/>
  <c r="C168" i="13"/>
  <c r="D167" i="13"/>
  <c r="C167" i="13"/>
  <c r="D166" i="13"/>
  <c r="C166" i="13"/>
  <c r="E160" i="13"/>
  <c r="E159" i="13"/>
  <c r="E158" i="13"/>
  <c r="E157" i="13"/>
  <c r="E156" i="13"/>
  <c r="E155" i="13"/>
  <c r="E154" i="13"/>
  <c r="E153" i="13"/>
  <c r="E152" i="13"/>
  <c r="A137" i="13"/>
  <c r="A143" i="13" s="1"/>
  <c r="C116" i="13"/>
  <c r="C113" i="13"/>
  <c r="C110" i="13"/>
  <c r="C107" i="13"/>
  <c r="D105" i="13"/>
  <c r="D113" i="13"/>
  <c r="D93" i="13"/>
  <c r="E93" i="13" s="1"/>
  <c r="D92" i="13"/>
  <c r="E92" i="13" s="1"/>
  <c r="E90" i="13"/>
  <c r="D130" i="13" s="1"/>
  <c r="D128" i="13" s="1"/>
  <c r="E128" i="13" s="1"/>
  <c r="C81" i="13"/>
  <c r="C79" i="13"/>
  <c r="C76" i="13"/>
  <c r="C73" i="13"/>
  <c r="D77" i="13"/>
  <c r="E77" i="13" s="1"/>
  <c r="D60" i="13"/>
  <c r="E60" i="13" s="1"/>
  <c r="D59" i="13"/>
  <c r="E59" i="13" s="1"/>
  <c r="E58" i="13"/>
  <c r="D127" i="13" s="1"/>
  <c r="A49" i="13"/>
  <c r="E45" i="13"/>
  <c r="A45" i="13"/>
  <c r="E44" i="13"/>
  <c r="A44" i="13"/>
  <c r="E43" i="13"/>
  <c r="A43" i="13"/>
  <c r="A42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E204" i="13" l="1"/>
  <c r="C136" i="13"/>
  <c r="E136" i="13" s="1"/>
  <c r="E235" i="13"/>
  <c r="D94" i="13"/>
  <c r="E94" i="13" s="1"/>
  <c r="D96" i="13" s="1"/>
  <c r="E96" i="13" s="1"/>
  <c r="E97" i="13" s="1"/>
  <c r="E167" i="13"/>
  <c r="E169" i="13"/>
  <c r="D236" i="13"/>
  <c r="C172" i="13"/>
  <c r="E171" i="13"/>
  <c r="D161" i="13"/>
  <c r="E161" i="13" s="1"/>
  <c r="F262" i="13"/>
  <c r="F264" i="13" s="1"/>
  <c r="E34" i="13" s="1"/>
  <c r="E166" i="13"/>
  <c r="E168" i="13"/>
  <c r="E170" i="13"/>
  <c r="C229" i="13"/>
  <c r="E229" i="13" s="1"/>
  <c r="E33" i="13"/>
  <c r="E143" i="13"/>
  <c r="E130" i="13"/>
  <c r="E71" i="13"/>
  <c r="D73" i="13"/>
  <c r="E73" i="13" s="1"/>
  <c r="D79" i="13"/>
  <c r="E79" i="13" s="1"/>
  <c r="D74" i="13"/>
  <c r="E74" i="13" s="1"/>
  <c r="D61" i="13"/>
  <c r="E61" i="13" s="1"/>
  <c r="D62" i="13" s="1"/>
  <c r="E62" i="13" s="1"/>
  <c r="E113" i="13"/>
  <c r="E127" i="13"/>
  <c r="E215" i="13"/>
  <c r="D218" i="13" s="1"/>
  <c r="E218" i="13" s="1"/>
  <c r="E46" i="13"/>
  <c r="D76" i="13"/>
  <c r="E76" i="13" s="1"/>
  <c r="E104" i="13"/>
  <c r="D129" i="13" s="1"/>
  <c r="E129" i="13" s="1"/>
  <c r="D110" i="13"/>
  <c r="E110" i="13" s="1"/>
  <c r="D111" i="13"/>
  <c r="E111" i="13" s="1"/>
  <c r="E137" i="13"/>
  <c r="C142" i="13"/>
  <c r="E142" i="13" s="1"/>
  <c r="D186" i="13"/>
  <c r="E186" i="13" s="1"/>
  <c r="D187" i="13" s="1"/>
  <c r="E187" i="13" s="1"/>
  <c r="E188" i="13"/>
  <c r="C201" i="13"/>
  <c r="C233" i="13"/>
  <c r="E233" i="13" s="1"/>
  <c r="E241" i="13"/>
  <c r="D107" i="13"/>
  <c r="E107" i="13" s="1"/>
  <c r="D108" i="13"/>
  <c r="E108" i="13" s="1"/>
  <c r="E227" i="13"/>
  <c r="C231" i="13"/>
  <c r="E231" i="13" s="1"/>
  <c r="F131" i="13" l="1"/>
  <c r="E22" i="13" s="1"/>
  <c r="F138" i="13"/>
  <c r="E23" i="13" s="1"/>
  <c r="F243" i="13"/>
  <c r="E32" i="13" s="1"/>
  <c r="F237" i="13"/>
  <c r="E31" i="13" s="1"/>
  <c r="D172" i="13"/>
  <c r="E172" i="13" s="1"/>
  <c r="F271" i="13"/>
  <c r="E35" i="13" s="1"/>
  <c r="D98" i="13"/>
  <c r="D80" i="13"/>
  <c r="E80" i="13" s="1"/>
  <c r="E81" i="13" s="1"/>
  <c r="C206" i="13"/>
  <c r="D191" i="13"/>
  <c r="E191" i="13" s="1"/>
  <c r="D192" i="13" s="1"/>
  <c r="E192" i="13" s="1"/>
  <c r="E193" i="13" s="1"/>
  <c r="D194" i="13" s="1"/>
  <c r="E194" i="13" s="1"/>
  <c r="C202" i="13"/>
  <c r="D203" i="13" s="1"/>
  <c r="E203" i="13" s="1"/>
  <c r="E63" i="13"/>
  <c r="D114" i="13"/>
  <c r="E114" i="13" s="1"/>
  <c r="D116" i="13" s="1"/>
  <c r="E116" i="13" s="1"/>
  <c r="E117" i="13" l="1"/>
  <c r="D118" i="13" s="1"/>
  <c r="C207" i="13"/>
  <c r="D208" i="13" s="1"/>
  <c r="E208" i="13" s="1"/>
  <c r="E209" i="13" s="1"/>
  <c r="D210" i="13" s="1"/>
  <c r="E210" i="13" s="1"/>
  <c r="E82" i="13"/>
  <c r="D64" i="13"/>
  <c r="D83" i="13" l="1"/>
  <c r="F13" i="11" l="1"/>
  <c r="F16" i="11" s="1"/>
  <c r="F18" i="11" s="1"/>
  <c r="F20" i="11" l="1"/>
  <c r="B52" i="13"/>
  <c r="E219" i="13" l="1"/>
  <c r="F219" i="13" s="1"/>
  <c r="E30" i="13" s="1"/>
  <c r="E67" i="13"/>
  <c r="E162" i="13"/>
  <c r="F162" i="13" s="1"/>
  <c r="E86" i="13"/>
  <c r="E121" i="13"/>
  <c r="E144" i="13"/>
  <c r="F144" i="13" s="1"/>
  <c r="E195" i="13"/>
  <c r="F195" i="13" s="1"/>
  <c r="E211" i="13"/>
  <c r="F211" i="13" s="1"/>
  <c r="E29" i="13" s="1"/>
  <c r="E101" i="13"/>
  <c r="E173" i="13"/>
  <c r="F173" i="13" s="1"/>
  <c r="E28" i="13" l="1"/>
  <c r="F252" i="13"/>
  <c r="F175" i="13"/>
  <c r="E25" i="13" s="1"/>
  <c r="E24" i="13"/>
  <c r="E26" i="13" l="1"/>
  <c r="E27" i="13"/>
  <c r="C27" i="5"/>
  <c r="C21" i="8" l="1"/>
  <c r="C16" i="4"/>
  <c r="C21" i="4" s="1"/>
  <c r="C277" i="13" s="1"/>
  <c r="F14" i="4"/>
  <c r="E14" i="4"/>
  <c r="D14" i="4"/>
  <c r="C18" i="8"/>
  <c r="C29" i="5"/>
  <c r="C31" i="5" l="1"/>
  <c r="C30" i="5"/>
  <c r="C32" i="8" s="1"/>
  <c r="C32" i="5" l="1"/>
  <c r="C31" i="8"/>
  <c r="C37" i="5"/>
  <c r="C28" i="8" s="1"/>
  <c r="C36" i="8" s="1"/>
  <c r="C29" i="8"/>
  <c r="C20" i="8"/>
  <c r="C26" i="8" s="1"/>
  <c r="C35" i="8" s="1"/>
  <c r="C30" i="8" l="1"/>
  <c r="C33" i="8" s="1"/>
  <c r="C37" i="8"/>
  <c r="C38" i="8" l="1"/>
  <c r="C118" i="13" l="1"/>
  <c r="E118" i="13" s="1"/>
  <c r="E119" i="13" s="1"/>
  <c r="D120" i="13" s="1"/>
  <c r="E120" i="13" s="1"/>
  <c r="F121" i="13" s="1"/>
  <c r="C98" i="13"/>
  <c r="E98" i="13" s="1"/>
  <c r="E99" i="13" s="1"/>
  <c r="D100" i="13" s="1"/>
  <c r="E100" i="13" s="1"/>
  <c r="F101" i="13" s="1"/>
  <c r="E20" i="13" s="1"/>
  <c r="C83" i="13"/>
  <c r="E83" i="13" s="1"/>
  <c r="E84" i="13" s="1"/>
  <c r="D85" i="13" s="1"/>
  <c r="E85" i="13" s="1"/>
  <c r="F86" i="13" s="1"/>
  <c r="E19" i="13" s="1"/>
  <c r="C64" i="13"/>
  <c r="E64" i="13" s="1"/>
  <c r="E65" i="13" s="1"/>
  <c r="D66" i="13" s="1"/>
  <c r="E66" i="13" l="1"/>
  <c r="F67" i="13" s="1"/>
  <c r="E18" i="13" s="1"/>
  <c r="E21" i="13"/>
  <c r="F146" i="13"/>
  <c r="F273" i="13" s="1"/>
  <c r="E17" i="13" l="1"/>
  <c r="D277" i="13" l="1"/>
  <c r="E277" i="13" s="1"/>
  <c r="F278" i="13" s="1"/>
  <c r="F280" i="13" s="1"/>
  <c r="E36" i="13" s="1"/>
  <c r="E37" i="13" s="1"/>
  <c r="C4" i="16" l="1"/>
  <c r="F34" i="13"/>
  <c r="F33" i="13"/>
  <c r="F23" i="13"/>
  <c r="F31" i="13"/>
  <c r="F30" i="13"/>
  <c r="F25" i="13"/>
  <c r="F26" i="13"/>
  <c r="F27" i="13"/>
  <c r="F32" i="13"/>
  <c r="F35" i="13"/>
  <c r="F22" i="13"/>
  <c r="F29" i="13"/>
  <c r="F28" i="13"/>
  <c r="F24" i="13"/>
  <c r="F18" i="13"/>
  <c r="F19" i="13"/>
  <c r="F20" i="13"/>
  <c r="F21" i="13"/>
  <c r="F36" i="13"/>
  <c r="F17" i="13"/>
  <c r="F283" i="13"/>
  <c r="F288" i="13" l="1"/>
  <c r="C7" i="16"/>
  <c r="F3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5" authorId="0" shapeId="0" xr:uid="{00000000-0006-0000-0000-000001000000}">
      <text>
        <r>
          <rPr>
            <sz val="9"/>
            <color indexed="81"/>
            <rFont val="Tahoma"/>
            <family val="2"/>
          </rPr>
          <t>Qualquer custo previsto no edital e não contemplado nesta planilha modelo deverá ser devidamente incluído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Informar o fator de utilização das equipes de coleta. 
Por exemplo:
Equipes com utilização integral = 100%
Equipes com utilização parcial = n° horas trabalhadas por semana /44 horas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9" authorId="0" shapeId="0" xr:uid="{00000000-0006-0000-0000-000003000000}">
      <text>
        <r>
          <rPr>
            <sz val="9"/>
            <color indexed="81"/>
            <rFont val="Tahoma"/>
            <family val="2"/>
          </rPr>
          <t>Informar o número de horas extras trabalhadas nos domingos e feriados em horário diurno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61" authorId="0" shapeId="0" xr:uid="{00000000-0006-0000-0000-000005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66" authorId="0" shapeId="0" xr:uid="{00000000-0006-0000-0000-00000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72" authorId="0" shapeId="0" xr:uid="{00000000-0006-0000-0000-00000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74" authorId="0" shapeId="0" xr:uid="{00000000-0006-0000-0000-000009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75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77" authorId="0" shapeId="0" xr:uid="{00000000-0006-0000-0000-00000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78" authorId="0" shapeId="0" xr:uid="{00000000-0006-0000-0000-00000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80" authorId="0" shapeId="0" xr:uid="{00000000-0006-0000-0000-00000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3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85" authorId="0" shapeId="0" xr:uid="{00000000-0006-0000-0000-00000F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91" authorId="0" shapeId="0" xr:uid="{00000000-0006-0000-0000-000010000000}">
      <text>
        <r>
          <rPr>
            <sz val="9"/>
            <color indexed="81"/>
            <rFont val="Tahoma"/>
            <family val="2"/>
          </rPr>
          <t>Informar o valor do salário Mínimo Nacional</t>
        </r>
      </text>
    </comment>
    <comment ref="C92" authorId="0" shapeId="0" xr:uid="{00000000-0006-0000-0000-000011000000}">
      <text>
        <r>
          <rPr>
            <sz val="9"/>
            <color indexed="81"/>
            <rFont val="Tahoma"/>
            <family val="2"/>
          </rPr>
          <t>Informar o número de horas extras trabalhadas em horário diurno nos domingos e feriados</t>
        </r>
      </text>
    </comment>
    <comment ref="C93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diurno de segunda a sábado 
</t>
        </r>
      </text>
    </comment>
    <comment ref="A94" authorId="0" shapeId="0" xr:uid="{00000000-0006-0000-0000-000013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Considerada a média de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5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96" authorId="0" shapeId="0" xr:uid="{00000000-0006-0000-0000-000015000000}">
      <text>
        <r>
          <rPr>
            <sz val="9"/>
            <color indexed="81"/>
            <rFont val="Tahoma"/>
            <family val="2"/>
          </rPr>
          <t>Percentual estabelecido nas Normas de Segurança de Trabalho ou pelo laudo de responsável técnico devidamente habilitado</t>
        </r>
      </text>
    </comment>
    <comment ref="C98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00" authorId="0" shapeId="0" xr:uid="{00000000-0006-0000-0000-000017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C106" authorId="0" shapeId="0" xr:uid="{00000000-0006-0000-0000-000018000000}">
      <text>
        <r>
          <rPr>
            <sz val="9"/>
            <color indexed="81"/>
            <rFont val="Tahoma"/>
            <family val="2"/>
          </rPr>
          <t>Informar o número de horas noturnas trabalhadas no intervalo das 22:00h as 5:00h</t>
        </r>
      </text>
    </comment>
    <comment ref="C108" authorId="0" shapeId="0" xr:uid="{00000000-0006-0000-0000-000019000000}">
      <text>
        <r>
          <rPr>
            <sz val="9"/>
            <color indexed="81"/>
            <rFont val="Tahoma"/>
            <family val="2"/>
          </rPr>
          <t>Informar o número de horas extras trabalhadas em horário noturno nos domingos e feriados</t>
        </r>
      </text>
    </comment>
    <comment ref="C109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Informar o número de horas extras trabalhadas em horário noturno (das 22:00h as 5h) nos domingos e feriados
</t>
        </r>
      </text>
    </comment>
    <comment ref="C111" authorId="0" shapeId="0" xr:uid="{00000000-0006-0000-0000-00001B000000}">
      <text>
        <r>
          <rPr>
            <sz val="9"/>
            <color indexed="81"/>
            <rFont val="Tahoma"/>
            <family val="2"/>
          </rPr>
          <t>Informar o número de horas extras trabalhadas em horário noturno de segunda à sábado</t>
        </r>
      </text>
    </comment>
    <comment ref="C112" authorId="0" shapeId="0" xr:uid="{00000000-0006-0000-0000-00001C000000}">
      <text>
        <r>
          <rPr>
            <sz val="9"/>
            <color indexed="81"/>
            <rFont val="Tahoma"/>
            <family val="2"/>
          </rPr>
          <t>Informar o número de horas extras trabalhadas em horário noturno (das 22:00h as 5h) de segunda a sábado</t>
        </r>
      </text>
    </comment>
    <comment ref="A114" authorId="0" shapeId="0" xr:uid="{00000000-0006-0000-0000-00001D000000}">
      <text>
        <r>
          <rPr>
            <sz val="9"/>
            <color indexed="81"/>
            <rFont val="Tahoma"/>
            <family val="2"/>
          </rPr>
          <t>Cálculo do descanso semanal remunerado incidente sobre as horas extras habitualmente prestadas. Considerados 63 feriados + domingos e 302 dias trabalhados por ano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5" authorId="0" shapeId="0" xr:uid="{00000000-0006-0000-0000-00001E000000}">
      <text>
        <r>
          <rPr>
            <sz val="9"/>
            <color indexed="81"/>
            <rFont val="Tahoma"/>
            <family val="2"/>
          </rPr>
          <t xml:space="preserve">Informar 1 se a base de cálculo for o Salário Mínimo Nacional; Informar 2 se a base de cálculo for o Piso da Categoria; 
</t>
        </r>
      </text>
    </comment>
    <comment ref="C118" authorId="0" shapeId="0" xr:uid="{00000000-0006-0000-0000-00001F000000}">
      <text>
        <r>
          <rPr>
            <sz val="9"/>
            <color indexed="81"/>
            <rFont val="Tahoma"/>
            <family val="2"/>
          </rPr>
          <t xml:space="preserve">Preencher a planilha Encargos Sociais e CAGED </t>
        </r>
      </text>
    </comment>
    <comment ref="C120" authorId="0" shapeId="0" xr:uid="{00000000-0006-0000-0000-000020000000}">
      <text>
        <r>
          <rPr>
            <sz val="9"/>
            <color indexed="81"/>
            <rFont val="Tahoma"/>
            <family val="2"/>
          </rPr>
          <t>Informar a quantidade de trabalhadores na função</t>
        </r>
      </text>
    </comment>
    <comment ref="D125" authorId="0" shapeId="0" xr:uid="{00000000-0006-0000-0000-000021000000}">
      <text>
        <r>
          <rPr>
            <sz val="9"/>
            <color indexed="81"/>
            <rFont val="Tahoma"/>
            <family val="2"/>
          </rPr>
          <t>Informar o valor unitário do VT no município</t>
        </r>
      </text>
    </comment>
    <comment ref="C126" authorId="0" shapeId="0" xr:uid="{00000000-0006-0000-0000-000022000000}">
      <text>
        <r>
          <rPr>
            <sz val="9"/>
            <color indexed="81"/>
            <rFont val="Tahoma"/>
            <family val="2"/>
          </rPr>
          <t>Informar o número médio de dias trabalhados por mês</t>
        </r>
      </text>
    </comment>
    <comment ref="D127" authorId="0" shapeId="0" xr:uid="{00000000-0006-0000-0000-000023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8" authorId="0" shapeId="0" xr:uid="{00000000-0006-0000-0000-000024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29" authorId="0" shapeId="0" xr:uid="{00000000-0006-0000-0000-000025000000}">
      <text>
        <r>
          <rPr>
            <sz val="9"/>
            <color indexed="81"/>
            <rFont val="Tahoma"/>
            <family val="2"/>
          </rPr>
          <t>Valor Unitário considerando o desconto legal de até 6% do salário</t>
        </r>
      </text>
    </comment>
    <comment ref="D130" authorId="0" shapeId="0" xr:uid="{00000000-0006-0000-0000-000026000000}">
      <text>
        <r>
          <rPr>
            <sz val="9"/>
            <color indexed="81"/>
            <rFont val="Tahoma"/>
            <family val="2"/>
          </rPr>
          <t xml:space="preserve">Valor Unitário considerando o desconto legal de até 6% do salário
</t>
        </r>
      </text>
    </comment>
    <comment ref="D136" authorId="0" shapeId="0" xr:uid="{00000000-0006-0000-0000-000027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37" authorId="0" shapeId="0" xr:uid="{00000000-0006-0000-0000-000028000000}">
      <text>
        <r>
          <rPr>
            <sz val="9"/>
            <color indexed="81"/>
            <rFont val="Tahoma"/>
            <family val="2"/>
          </rPr>
          <t>Informar o valor unitário diário do vale refeição, considerando o desconto aplicável ao funcionário, conforme Convenção Coletiva da categoria.</t>
        </r>
      </text>
    </comment>
    <comment ref="D142" authorId="0" shapeId="0" xr:uid="{00000000-0006-0000-0000-000029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D143" authorId="0" shapeId="0" xr:uid="{00000000-0006-0000-0000-00002A000000}">
      <text>
        <r>
          <rPr>
            <sz val="9"/>
            <color indexed="81"/>
            <rFont val="Tahoma"/>
            <family val="2"/>
          </rPr>
          <t>Informar o valor mensal do auxilio alimentação, considerando o desconto aplicável ao funcionário, conforme Convenção Coletiva da categoria</t>
        </r>
      </text>
    </comment>
    <comment ref="C166" authorId="0" shapeId="0" xr:uid="{00000000-0006-0000-0000-00002B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7" authorId="0" shapeId="0" xr:uid="{00000000-0006-0000-0000-00002C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8" authorId="0" shapeId="0" xr:uid="{00000000-0006-0000-0000-00002D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69" authorId="0" shapeId="0" xr:uid="{00000000-0006-0000-0000-00002E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0" authorId="0" shapeId="0" xr:uid="{00000000-0006-0000-0000-00002F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C171" authorId="0" shapeId="0" xr:uid="{00000000-0006-0000-0000-000030000000}">
      <text>
        <r>
          <rPr>
            <sz val="9"/>
            <color indexed="81"/>
            <rFont val="Tahoma"/>
            <family val="2"/>
          </rPr>
          <t xml:space="preserve">Informar a durabilidade estimada em meses, para cada EPI
</t>
        </r>
      </text>
    </comment>
    <comment ref="D183" authorId="0" shapeId="0" xr:uid="{00000000-0006-0000-0000-000031000000}">
      <text>
        <r>
          <rPr>
            <sz val="9"/>
            <color indexed="81"/>
            <rFont val="Tahoma"/>
            <family val="2"/>
          </rPr>
          <t>Informar o preço unitário do chassis do caminhão de coleta</t>
        </r>
      </text>
    </comment>
    <comment ref="C184" authorId="0" shapeId="0" xr:uid="{00000000-0006-0000-0000-000032000000}">
      <text>
        <r>
          <rPr>
            <sz val="9"/>
            <color indexed="81"/>
            <rFont val="Tahoma"/>
            <family val="2"/>
          </rPr>
          <t>Informar a vida útil estimada para o caminhão, em anos</t>
        </r>
      </text>
    </comment>
    <comment ref="C185" authorId="0" shapeId="0" xr:uid="{00000000-0006-0000-0000-000033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veículo proposto.</t>
        </r>
      </text>
    </comment>
    <comment ref="C186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caminhão,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8" authorId="0" shapeId="0" xr:uid="{00000000-0006-0000-0000-000035000000}">
      <text>
        <r>
          <rPr>
            <sz val="9"/>
            <color indexed="81"/>
            <rFont val="Tahoma"/>
            <family val="2"/>
          </rPr>
          <t xml:space="preserve">Informar o preço unitário do equipamento compactador
</t>
        </r>
      </text>
    </comment>
    <comment ref="C189" authorId="0" shapeId="0" xr:uid="{00000000-0006-0000-0000-000036000000}">
      <text>
        <r>
          <rPr>
            <sz val="9"/>
            <color indexed="81"/>
            <rFont val="Tahoma"/>
            <family val="2"/>
          </rPr>
          <t>Informar a vida útil estimada para o compactador, em anos</t>
        </r>
      </text>
    </comment>
    <comment ref="C190" authorId="0" shapeId="0" xr:uid="{00000000-0006-0000-0000-000037000000}">
      <text>
        <r>
          <rPr>
            <sz val="9"/>
            <color indexed="81"/>
            <rFont val="Tahoma"/>
            <family val="2"/>
          </rPr>
          <t>Na elaboração do orçamento-base da licitação, informar 0 (zero). Na proposta da licitante, informar a idade do compactador proposto.</t>
        </r>
      </text>
    </comment>
    <comment ref="C191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Informar o valor da depreciação do compactador, adotando o valor sugerido pelo TCE ou outro valor estimado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4" authorId="0" shapeId="0" xr:uid="{00000000-0006-0000-0000-000039000000}">
      <text>
        <r>
          <rPr>
            <sz val="9"/>
            <color indexed="81"/>
            <rFont val="Tahoma"/>
            <family val="2"/>
          </rPr>
          <t>Informar a quantidade de caminhões compactadores do respectivo modelo</t>
        </r>
      </text>
    </comment>
    <comment ref="C200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Informar a taxa de juros anual para remuneração do capital. Recomenda-se o uso da Taxa SELIC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16" authorId="0" shapeId="0" xr:uid="{00000000-0006-0000-0000-00003B000000}">
      <text>
        <r>
          <rPr>
            <sz val="9"/>
            <color indexed="81"/>
            <rFont val="Tahoma"/>
            <family val="2"/>
          </rPr>
          <t xml:space="preserve">Informar o valor do seguro obrigatório e licenciamento anual de um caminhão
</t>
        </r>
      </text>
    </comment>
    <comment ref="D217" authorId="0" shapeId="0" xr:uid="{00000000-0006-0000-0000-00003C000000}">
      <text>
        <r>
          <rPr>
            <sz val="9"/>
            <color indexed="81"/>
            <rFont val="Tahoma"/>
            <family val="2"/>
          </rPr>
          <t xml:space="preserve">Informar o valor do seguro contra terceiros de um caminhão, se houver previsão no Projeto Básico
</t>
        </r>
      </text>
    </comment>
    <comment ref="B223" authorId="0" shapeId="0" xr:uid="{00000000-0006-0000-0000-00003D000000}">
      <text>
        <r>
          <rPr>
            <sz val="9"/>
            <color indexed="81"/>
            <rFont val="Tahoma"/>
            <family val="2"/>
          </rPr>
          <t xml:space="preserve">Informar a quilometragem mensal percorrida, de acordo com o projeto básico
</t>
        </r>
      </text>
    </comment>
    <comment ref="C226" authorId="0" shapeId="0" xr:uid="{00000000-0006-0000-0000-00003E000000}">
      <text>
        <r>
          <rPr>
            <sz val="9"/>
            <color indexed="81"/>
            <rFont val="Tahoma"/>
            <family val="2"/>
          </rPr>
          <t>Informar o consumo estimado do veículo em km/l</t>
        </r>
      </text>
    </comment>
    <comment ref="D226" authorId="0" shapeId="0" xr:uid="{00000000-0006-0000-0000-00003F000000}">
      <text>
        <r>
          <rPr>
            <sz val="9"/>
            <color indexed="81"/>
            <rFont val="Tahoma"/>
            <family val="2"/>
          </rPr>
          <t xml:space="preserve">Informar o preço unitário do combustivel
</t>
        </r>
      </text>
    </comment>
    <comment ref="C228" authorId="0" shapeId="0" xr:uid="{00000000-0006-0000-0000-000040000000}">
      <text>
        <r>
          <rPr>
            <sz val="9"/>
            <color indexed="81"/>
            <rFont val="Tahoma"/>
            <family val="2"/>
          </rPr>
          <t>Informar o consumo de óleo do motor a cada 1000km</t>
        </r>
      </text>
    </comment>
    <comment ref="D228" authorId="0" shapeId="0" xr:uid="{00000000-0006-0000-0000-000041000000}">
      <text>
        <r>
          <rPr>
            <sz val="9"/>
            <color indexed="81"/>
            <rFont val="Tahoma"/>
            <family val="2"/>
          </rPr>
          <t xml:space="preserve">Informar o preço unitário do litro do óleo do motor
</t>
        </r>
      </text>
    </comment>
    <comment ref="C230" authorId="0" shapeId="0" xr:uid="{00000000-0006-0000-0000-000042000000}">
      <text>
        <r>
          <rPr>
            <sz val="9"/>
            <color indexed="81"/>
            <rFont val="Tahoma"/>
            <family val="2"/>
          </rPr>
          <t>Informar o consumo de óleo da transmissão a cada 1000km</t>
        </r>
      </text>
    </comment>
    <comment ref="D230" authorId="0" shapeId="0" xr:uid="{00000000-0006-0000-0000-000043000000}">
      <text>
        <r>
          <rPr>
            <sz val="9"/>
            <color indexed="81"/>
            <rFont val="Tahoma"/>
            <family val="2"/>
          </rPr>
          <t xml:space="preserve">Informar o preço unitário do litro do óleo da transmissão
</t>
        </r>
      </text>
    </comment>
    <comment ref="C232" authorId="0" shapeId="0" xr:uid="{00000000-0006-0000-0000-000044000000}">
      <text>
        <r>
          <rPr>
            <sz val="9"/>
            <color indexed="81"/>
            <rFont val="Tahoma"/>
            <family val="2"/>
          </rPr>
          <t>Informar o consumo de óleo hidráulico a cada 1000km</t>
        </r>
      </text>
    </comment>
    <comment ref="D232" authorId="0" shapeId="0" xr:uid="{00000000-0006-0000-0000-000045000000}">
      <text>
        <r>
          <rPr>
            <sz val="9"/>
            <color indexed="81"/>
            <rFont val="Tahoma"/>
            <family val="2"/>
          </rPr>
          <t xml:space="preserve">Informar o preço unitário do litro do óleo hidráulico
</t>
        </r>
      </text>
    </comment>
    <comment ref="C234" authorId="0" shapeId="0" xr:uid="{00000000-0006-0000-0000-000046000000}">
      <text>
        <r>
          <rPr>
            <sz val="9"/>
            <color indexed="81"/>
            <rFont val="Tahoma"/>
            <family val="2"/>
          </rPr>
          <t>Informar o consumo de graxa a cada 1000km</t>
        </r>
      </text>
    </comment>
    <comment ref="D234" authorId="0" shapeId="0" xr:uid="{00000000-0006-0000-0000-000047000000}">
      <text>
        <r>
          <rPr>
            <sz val="9"/>
            <color indexed="81"/>
            <rFont val="Tahoma"/>
            <family val="2"/>
          </rPr>
          <t xml:space="preserve">Informar o preço unitário do litro da graxa
</t>
        </r>
      </text>
    </comment>
    <comment ref="D241" authorId="0" shapeId="0" xr:uid="{00000000-0006-0000-0000-000048000000}">
      <text>
        <r>
          <rPr>
            <sz val="9"/>
            <color indexed="81"/>
            <rFont val="Tahoma"/>
            <family val="2"/>
          </rPr>
          <t xml:space="preserve">Informar o custo de manutenção em R$/km rodado
</t>
        </r>
      </text>
    </comment>
    <comment ref="C247" authorId="0" shapeId="0" xr:uid="{00000000-0006-0000-0000-000049000000}">
      <text>
        <r>
          <rPr>
            <sz val="9"/>
            <color indexed="81"/>
            <rFont val="Tahoma"/>
            <family val="2"/>
          </rPr>
          <t>Informar a quantidade de pneus novos de 1 caminhão</t>
        </r>
      </text>
    </comment>
    <comment ref="D247" authorId="0" shapeId="0" xr:uid="{00000000-0006-0000-0000-00004A000000}">
      <text>
        <r>
          <rPr>
            <sz val="9"/>
            <color indexed="81"/>
            <rFont val="Tahoma"/>
            <family val="2"/>
          </rPr>
          <t xml:space="preserve">Informar o preço unitário de cada pneu
</t>
        </r>
      </text>
    </comment>
    <comment ref="C248" authorId="0" shapeId="0" xr:uid="{00000000-0006-0000-0000-00004B000000}">
      <text>
        <r>
          <rPr>
            <sz val="9"/>
            <color indexed="81"/>
            <rFont val="Tahoma"/>
            <family val="2"/>
          </rPr>
          <t>Informar o número de recapagens por pneu</t>
        </r>
      </text>
    </comment>
    <comment ref="C256" authorId="0" shapeId="0" xr:uid="{00000000-0006-0000-0000-00004C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6" authorId="0" shapeId="0" xr:uid="{00000000-0006-0000-0000-00004D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7" authorId="0" shapeId="0" xr:uid="{00000000-0006-0000-0000-00004E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7" authorId="0" shapeId="0" xr:uid="{00000000-0006-0000-0000-00004F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8" authorId="0" shapeId="0" xr:uid="{00000000-0006-0000-0000-000050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8" authorId="0" shapeId="0" xr:uid="{00000000-0006-0000-0000-000051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C259" authorId="0" shapeId="0" xr:uid="{00000000-0006-0000-0000-000052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59" authorId="0" shapeId="0" xr:uid="{00000000-0006-0000-0000-000053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D260" authorId="0" shapeId="0" xr:uid="{00000000-0006-0000-0000-000054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C261" authorId="0" shapeId="0" xr:uid="{00000000-0006-0000-0000-000055000000}">
      <text>
        <r>
          <rPr>
            <sz val="9"/>
            <color indexed="81"/>
            <rFont val="Tahoma"/>
            <family val="2"/>
          </rPr>
          <t xml:space="preserve">Informar a quantidade estimada por mês. Por exemplo, se a durabilidade estimada é de 6 meses, informar 1/6; se a durabilidade estimada é de 3 meses informar 1/3, etc..
</t>
        </r>
      </text>
    </comment>
    <comment ref="D261" authorId="0" shapeId="0" xr:uid="{00000000-0006-0000-0000-000056000000}">
      <text>
        <r>
          <rPr>
            <sz val="9"/>
            <color indexed="81"/>
            <rFont val="Tahoma"/>
            <family val="2"/>
          </rPr>
          <t>Informar o valor unitário estimado para aquisição de cada material</t>
        </r>
      </text>
    </comment>
    <comment ref="A266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Especificar somente quando for exigido no Projeto Básico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8" authorId="0" shapeId="0" xr:uid="{00000000-0006-0000-0000-000058000000}">
      <text>
        <r>
          <rPr>
            <sz val="9"/>
            <color indexed="81"/>
            <rFont val="Tahoma"/>
            <family val="2"/>
          </rPr>
          <t>Informar o valor total para instalação do equipamento de monitoramento da frota, se houver previsão no Projeto Básico</t>
        </r>
      </text>
    </comment>
    <comment ref="C277" authorId="0" shapeId="0" xr:uid="{00000000-0006-0000-0000-000059000000}">
      <text>
        <r>
          <rPr>
            <sz val="9"/>
            <color indexed="81"/>
            <rFont val="Tahoma"/>
            <family val="2"/>
          </rPr>
          <t>Preencher a aba 4.BDI</t>
        </r>
      </text>
    </comment>
    <comment ref="D286" authorId="0" shapeId="0" xr:uid="{00000000-0006-0000-0000-00005A000000}">
      <text>
        <r>
          <rPr>
            <sz val="9"/>
            <color indexed="81"/>
            <rFont val="Tahoma"/>
            <family val="2"/>
          </rPr>
          <t xml:space="preserve">Informar a quantidade média coletada nos últimos 12 meses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C1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Informar o % de Administração Central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Informar o % de Seguros, Riscos e Garantia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Informar o % de Lucro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Informar o valor anual da taxa financeira, em percentual. Admite-se utilizar a SELIC</t>
        </r>
      </text>
    </comment>
    <comment ref="C17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Informar o percentual de ISS, de acordo com a legislação tributária do município onde serão prestados os serviços. De 2% até o limite de 5%.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Informar a média de dias úteis entre data de pagamento prevista no contrato e a data final do período de adimplemento da parcela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 xml:space="preserve">Informar o valor estimado de PIS/COFINS. </t>
        </r>
        <r>
          <rPr>
            <sz val="9"/>
            <color indexed="81"/>
            <rFont val="Tahoma"/>
            <family val="2"/>
          </rPr>
          <t xml:space="preserve">
1. Adotar 0,65% PIS + 3% COFINS quando o valor anual estimado do contrato for inferior ao limite para tributação pelo regime de incidência não-cumulativa (lucro presumido);
2. Adotar 1,65% PIS + 7,6% COFINS quando o valor anual estimado do contrato for superior ao limite para tributação pelo regime de incidência não-cumulativa (lucro real);</t>
        </r>
      </text>
    </comment>
  </commentList>
</comments>
</file>

<file path=xl/sharedStrings.xml><?xml version="1.0" encoding="utf-8"?>
<sst xmlns="http://schemas.openxmlformats.org/spreadsheetml/2006/main" count="606" uniqueCount="338">
  <si>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</si>
  <si>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</si>
  <si>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</si>
  <si>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</si>
  <si>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</si>
  <si>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</si>
  <si>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</si>
  <si>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</si>
  <si>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</si>
  <si>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</si>
  <si>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</si>
  <si>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</si>
  <si>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</si>
  <si>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</si>
  <si>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</si>
  <si>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</si>
  <si>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</si>
  <si>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</si>
  <si>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</si>
  <si>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</si>
  <si>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</si>
  <si>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</si>
  <si>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</si>
  <si>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</si>
  <si>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</si>
  <si>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</si>
  <si>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toneladas</t>
  </si>
  <si>
    <t>Calça</t>
  </si>
  <si>
    <t>Camiseta</t>
  </si>
  <si>
    <t>Boné</t>
  </si>
  <si>
    <t>R$/tonelada</t>
  </si>
  <si>
    <t>R$</t>
  </si>
  <si>
    <t>Horas Extras (100%)</t>
  </si>
  <si>
    <t>Horas Extras (50%)</t>
  </si>
  <si>
    <t>Benefícios e despesas indiretas</t>
  </si>
  <si>
    <t>Custo (R$/mês)</t>
  </si>
  <si>
    <t>Mão-de-obra</t>
  </si>
  <si>
    <t>Quantidade</t>
  </si>
  <si>
    <t>INSS</t>
  </si>
  <si>
    <t>FGTS</t>
  </si>
  <si>
    <t>Planilha de Composição de Custos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</si>
  <si>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</si>
  <si>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</si>
  <si>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</si>
  <si>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</si>
  <si>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</si>
  <si>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</si>
  <si>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</si>
  <si>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</si>
  <si>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Veículos e Equipamentos</t>
  </si>
  <si>
    <t>cj</t>
  </si>
  <si>
    <t>Total de mão-de-obra (postos de trabalho)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</si>
  <si>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</si>
  <si>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</si>
  <si>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</si>
  <si>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</si>
  <si>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</si>
  <si>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</si>
  <si>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</si>
  <si>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</si>
  <si>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</si>
  <si>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</si>
  <si>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</si>
  <si>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</si>
  <si>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</si>
  <si>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</si>
  <si>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</si>
  <si>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</si>
  <si>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</si>
  <si>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</si>
  <si>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</si>
  <si>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Tributos - PIS/COFINS</t>
  </si>
  <si>
    <t>Fórmula para o cálculo do BDI:</t>
  </si>
  <si>
    <t>{[(1+AC+SRG) x (1+L) x (1+DF)] / (1-T)} -1</t>
  </si>
  <si>
    <t>Resultado do cálculo do BDI:</t>
  </si>
  <si>
    <t>6. Benefícios e Despesas Indiretas - BDI</t>
  </si>
  <si>
    <t>Vale Transporte</t>
  </si>
  <si>
    <t>Dias Trabalhados por mês</t>
  </si>
  <si>
    <t>dia</t>
  </si>
  <si>
    <t>Custo Mensal com Mão-de-obra (R$/mês)</t>
  </si>
  <si>
    <t>Meia de algodão com cano alto</t>
  </si>
  <si>
    <t>Quantitativos</t>
  </si>
  <si>
    <t>horas trabalhadas</t>
  </si>
  <si>
    <t>Horas Extras Noturnas (100%)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</si>
  <si>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</si>
  <si>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</si>
  <si>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</si>
  <si>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</si>
  <si>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</si>
  <si>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</si>
  <si>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</si>
  <si>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</si>
  <si>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Custo do compactador</t>
  </si>
  <si>
    <t>3.1.2. Remuneração do Capital</t>
  </si>
  <si>
    <t>Im = investimento médio</t>
  </si>
  <si>
    <t>Remuneração mensal de capital do compactador</t>
  </si>
  <si>
    <t>Investimento médio total do chassis</t>
  </si>
  <si>
    <t>Remuneração mensal de capital do chassis</t>
  </si>
  <si>
    <t>Investimento médio total do compactador</t>
  </si>
  <si>
    <t>Quilometragem mensal</t>
  </si>
  <si>
    <t>R$/km rodado</t>
  </si>
  <si>
    <t>1.7. Auxílio Alimentação (mensal)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</si>
  <si>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</si>
  <si>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</si>
  <si>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</si>
  <si>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</si>
  <si>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</si>
  <si>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</si>
  <si>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</si>
  <si>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</si>
  <si>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</si>
  <si>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</si>
  <si>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</si>
  <si>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</si>
  <si>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</si>
  <si>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</si>
  <si>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</si>
  <si>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</si>
  <si>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</si>
  <si>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</si>
  <si>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</si>
  <si>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</si>
  <si>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</si>
  <si>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</si>
  <si>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</si>
  <si>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</si>
  <si>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</si>
  <si>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</si>
  <si>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</si>
  <si>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</si>
  <si>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</si>
  <si>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</si>
  <si>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</si>
  <si>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</si>
  <si>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</si>
  <si>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</si>
  <si>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</si>
  <si>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</si>
  <si>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</si>
  <si>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</si>
  <si>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</si>
  <si>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</si>
  <si>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</si>
  <si>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</si>
  <si>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</si>
  <si>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</si>
  <si>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</si>
  <si>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</si>
  <si>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</si>
  <si>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</si>
  <si>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</si>
  <si>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</si>
  <si>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</si>
  <si>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</si>
  <si>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</si>
  <si>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</si>
  <si>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</si>
  <si>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</si>
  <si>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</si>
  <si>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</si>
  <si>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</si>
  <si>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</si>
  <si>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</si>
  <si>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</si>
  <si>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</si>
  <si>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</si>
  <si>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</si>
  <si>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</si>
  <si>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</si>
  <si>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</si>
  <si>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</si>
  <si>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</si>
  <si>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</si>
  <si>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</si>
  <si>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</si>
  <si>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</si>
  <si>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</si>
  <si>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</si>
  <si>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</si>
  <si>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</si>
  <si>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</si>
  <si>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</si>
  <si>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</si>
  <si>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5. Clique em Gerar Relatório</t>
  </si>
  <si>
    <t>Para preencher esta planilha siga os passos 1 a 5: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</si>
  <si>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</si>
  <si>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</si>
  <si>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</si>
  <si>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</si>
  <si>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</si>
  <si>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</si>
  <si>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</si>
  <si>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</si>
  <si>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</si>
  <si>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</si>
  <si>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</si>
  <si>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</si>
  <si>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</si>
  <si>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</si>
  <si>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</si>
  <si>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</si>
  <si>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</si>
  <si>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t>3. CAGED</t>
  </si>
  <si>
    <t>4. Composição do BDI - Benefícios e Despesas Indiretas</t>
  </si>
  <si>
    <t xml:space="preserve">2. Composição dos Encargos Sociais 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</si>
  <si>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</si>
  <si>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</si>
  <si>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</si>
  <si>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6. Remuneração de Capital</t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</si>
  <si>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</si>
  <si>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</si>
  <si>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</si>
  <si>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</si>
  <si>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</si>
  <si>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</si>
  <si>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</si>
  <si>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</si>
  <si>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</si>
  <si>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</si>
  <si>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</si>
  <si>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</si>
  <si>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</si>
  <si>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</si>
  <si>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</si>
  <si>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</si>
  <si>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</si>
  <si>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</si>
  <si>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</si>
  <si>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</si>
  <si>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</si>
  <si>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</si>
  <si>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</si>
  <si>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</si>
  <si>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</si>
  <si>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</si>
  <si>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i</t>
  </si>
  <si>
    <t>3. Preencher somente células em amarelo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</si>
  <si>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</si>
  <si>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</si>
  <si>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</si>
  <si>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</si>
  <si>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</si>
  <si>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</si>
  <si>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</si>
  <si>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</si>
  <si>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</si>
  <si>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</si>
  <si>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</si>
  <si>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</si>
  <si>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</si>
  <si>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</si>
  <si>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</si>
  <si>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</si>
  <si>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</si>
  <si>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</si>
  <si>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</si>
  <si>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 xml:space="preserve">Ordem 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</si>
  <si>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</si>
  <si>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</si>
  <si>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</si>
  <si>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</si>
  <si>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</si>
  <si>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>Total Horas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</si>
  <si>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</si>
  <si>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</si>
  <si>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</si>
  <si>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</si>
  <si>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</si>
  <si>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</si>
  <si>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</si>
  <si>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</si>
  <si>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>Total geral de horas base mês com (DSR)</t>
  </si>
  <si>
    <t xml:space="preserve">Fator de utilização </t>
  </si>
  <si>
    <t xml:space="preserve">Custo de aquisição da caçamba </t>
  </si>
  <si>
    <t>Vida útil da caçamba</t>
  </si>
  <si>
    <t>Idade da caçamba</t>
  </si>
  <si>
    <t>Depreciação da caçamba</t>
  </si>
  <si>
    <t>Depreciação mensal da caçamba</t>
  </si>
  <si>
    <t xml:space="preserve">Planilha com os horários dos funcionários do Centro de Triagem </t>
  </si>
  <si>
    <t xml:space="preserve">Triador </t>
  </si>
  <si>
    <t>Supervisor</t>
  </si>
  <si>
    <t>1.2. Supervisor do Centro de Triagem</t>
  </si>
  <si>
    <t xml:space="preserve">Total por Reciclador </t>
  </si>
  <si>
    <t xml:space="preserve">1.3. Operador de máquinas </t>
  </si>
  <si>
    <t xml:space="preserve">Total por operador </t>
  </si>
  <si>
    <t xml:space="preserve">1.4. Auxiliar de serviços gerais </t>
  </si>
  <si>
    <t>2.1. Uniformes e EPIs para Reciclador</t>
  </si>
  <si>
    <t xml:space="preserve">Hs/mês </t>
  </si>
  <si>
    <t xml:space="preserve">Manutenção de instal./máquinas e equipamentos </t>
  </si>
  <si>
    <t xml:space="preserve">3.1. Máquinas e Equipamentos </t>
  </si>
  <si>
    <t>Operador</t>
  </si>
  <si>
    <t xml:space="preserve">Descrição </t>
  </si>
  <si>
    <t>Total Geral</t>
  </si>
  <si>
    <t xml:space="preserve">Obs: lembrando que é a média das categorias e que conforme destacado no projeto básico será confirmado a adesão </t>
  </si>
  <si>
    <t xml:space="preserve">dos funcionários ao Transporte.  </t>
  </si>
  <si>
    <t xml:space="preserve">Total por funcionário </t>
  </si>
  <si>
    <t>Total por funcionário</t>
  </si>
  <si>
    <t>Reciclador</t>
  </si>
  <si>
    <t xml:space="preserve">Supervisor </t>
  </si>
  <si>
    <t xml:space="preserve">Operador </t>
  </si>
  <si>
    <t>Auxiliar de serviços gerais</t>
  </si>
  <si>
    <t xml:space="preserve">3. Máquinas, Equipamentos e Instalações </t>
  </si>
  <si>
    <t>Custo de manutenção/consumo de óleos/graxas/pneus</t>
  </si>
  <si>
    <t>Litros/mês</t>
  </si>
  <si>
    <t xml:space="preserve">Custo de óleo diesel </t>
  </si>
  <si>
    <t>3.1.1. Custos da Retroescavadeira</t>
  </si>
  <si>
    <t>4. Ferramentas, Materiais de Consumo e Deslocamento</t>
  </si>
  <si>
    <t xml:space="preserve">Arrame recozido para fardo </t>
  </si>
  <si>
    <t xml:space="preserve">Ferramentas </t>
  </si>
  <si>
    <t>kgs</t>
  </si>
  <si>
    <t>Conjunto</t>
  </si>
  <si>
    <t xml:space="preserve">Vassouras/rodos/pás e outros </t>
  </si>
  <si>
    <t>Segunda a sexta</t>
  </si>
  <si>
    <t xml:space="preserve">Serviços e material de limpeza/controle de pragas </t>
  </si>
  <si>
    <t>unid</t>
  </si>
  <si>
    <t>3.1.1. Manutenção de instalações e equipamentos</t>
  </si>
  <si>
    <t xml:space="preserve">Prefeitura Municipal de São José do Ouro </t>
  </si>
  <si>
    <t xml:space="preserve">água/luz/outros </t>
  </si>
  <si>
    <t>Deslocamento 10km/dia</t>
  </si>
  <si>
    <t xml:space="preserve">5. Venda do Material Reciclado </t>
  </si>
  <si>
    <t>Materiais reciclados (previsão de receita)</t>
  </si>
  <si>
    <t xml:space="preserve">Ton </t>
  </si>
  <si>
    <t>1.1. Reciclador de lixo urbano CBO 5192</t>
  </si>
  <si>
    <t xml:space="preserve">R$/hora </t>
  </si>
  <si>
    <t>1.4. Vale Transporte</t>
  </si>
  <si>
    <t>1.5. Vale-refeição (diário)</t>
  </si>
  <si>
    <t>Custo com Retroescavadeira (Combust/ Insumos/ depr/ manutenção e custo de capital) (2,5 hrs dia)</t>
  </si>
  <si>
    <t xml:space="preserve">Cargo: Triador; Supervisor e Operador   </t>
  </si>
  <si>
    <t xml:space="preserve">PREFEITURA MUNICIPAL DE SÃO JOSÉ DO OURO </t>
  </si>
  <si>
    <t>PO R$</t>
  </si>
  <si>
    <t xml:space="preserve">Serviços no Centro de Triagem </t>
  </si>
  <si>
    <t>Periodicidade: Segunda a sexta</t>
  </si>
  <si>
    <t>Luvas de proteção</t>
  </si>
  <si>
    <t xml:space="preserve">Reciclador/Supervisor/Operador </t>
  </si>
  <si>
    <t xml:space="preserve">Resumo Custo Serviços de Triagem de Resíduos Orgânicos e Seletivos </t>
  </si>
  <si>
    <t xml:space="preserve">1. Serviços de separação de resíduos orgânicos e seletivos - Triagem </t>
  </si>
  <si>
    <t>4. Nível Setorial: selecione "Classe de atividade econômica segundo a classificação CNAE – versão 2.0 (669 categorias)" e marque a opção "............... – ........................."</t>
  </si>
  <si>
    <t>Rio Grande do Sul  - Triagem de Resíduos  - CNAE 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</si>
</sst>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_-;\-* #,##0.0_-;_-* &quot;-&quot;??_-;_-@_-"/>
    <numFmt numFmtId="171" formatCode="_ * #,##0.00_ ;_ * \-#,##0.00_ ;_ * &quot;-&quot;??_ ;_ @_ "/>
    <numFmt numFmtId="172" formatCode="_(* #,##0.0000_);_(* \(#,##0.000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5" fillId="0" borderId="0"/>
    <xf numFmtId="0" fontId="6" fillId="0" borderId="0"/>
    <xf numFmtId="0" fontId="34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2">
    <xf numFmtId="0" fontId="0" fillId="0" borderId="0" xfId="0"/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5" fontId="11" fillId="0" borderId="2" xfId="3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5" fontId="11" fillId="0" borderId="1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3" applyFont="1" applyAlignment="1">
      <alignment horizontal="center" vertical="center"/>
    </xf>
    <xf numFmtId="165" fontId="8" fillId="2" borderId="4" xfId="3" applyFont="1" applyFill="1" applyBorder="1" applyAlignment="1">
      <alignment horizontal="center" vertical="center"/>
    </xf>
    <xf numFmtId="165" fontId="8" fillId="2" borderId="4" xfId="3" applyFont="1" applyFill="1" applyBorder="1" applyAlignment="1">
      <alignment vertical="center"/>
    </xf>
    <xf numFmtId="165" fontId="8" fillId="0" borderId="0" xfId="3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8" fillId="0" borderId="6" xfId="3" applyFont="1" applyBorder="1" applyAlignment="1">
      <alignment vertical="center"/>
    </xf>
    <xf numFmtId="165" fontId="8" fillId="0" borderId="7" xfId="3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5" fontId="11" fillId="0" borderId="6" xfId="3" applyFont="1" applyBorder="1" applyAlignment="1">
      <alignment vertical="center"/>
    </xf>
    <xf numFmtId="165" fontId="11" fillId="0" borderId="7" xfId="3" applyFont="1" applyBorder="1" applyAlignment="1">
      <alignment vertical="center"/>
    </xf>
    <xf numFmtId="165" fontId="8" fillId="0" borderId="0" xfId="3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165" fontId="8" fillId="0" borderId="0" xfId="3" applyFont="1" applyFill="1" applyBorder="1" applyAlignment="1">
      <alignment horizontal="center" vertical="center"/>
    </xf>
    <xf numFmtId="165" fontId="8" fillId="0" borderId="0" xfId="3" applyFont="1" applyBorder="1" applyAlignment="1">
      <alignment vertical="center"/>
    </xf>
    <xf numFmtId="165" fontId="10" fillId="0" borderId="0" xfId="3" applyFont="1" applyAlignment="1">
      <alignment vertical="center"/>
    </xf>
    <xf numFmtId="166" fontId="11" fillId="0" borderId="1" xfId="3" applyNumberFormat="1" applyFont="1" applyBorder="1" applyAlignment="1">
      <alignment vertical="center"/>
    </xf>
    <xf numFmtId="165" fontId="11" fillId="0" borderId="0" xfId="3" applyFont="1"/>
    <xf numFmtId="165" fontId="9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8" fillId="0" borderId="12" xfId="3" applyFont="1" applyBorder="1" applyAlignment="1">
      <alignment horizontal="center" vertical="center"/>
    </xf>
    <xf numFmtId="165" fontId="8" fillId="0" borderId="5" xfId="3" applyFont="1" applyBorder="1" applyAlignment="1">
      <alignment horizontal="left" vertical="center"/>
    </xf>
    <xf numFmtId="4" fontId="8" fillId="0" borderId="6" xfId="0" applyNumberFormat="1" applyFont="1" applyBorder="1" applyAlignment="1">
      <alignment horizontal="centerContinuous" vertical="center"/>
    </xf>
    <xf numFmtId="165" fontId="8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8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11" fillId="0" borderId="1" xfId="3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1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9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11" fillId="0" borderId="0" xfId="3" applyFont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165" fontId="16" fillId="2" borderId="17" xfId="3" applyFont="1" applyFill="1" applyBorder="1" applyAlignment="1">
      <alignment horizontal="center" vertical="center"/>
    </xf>
    <xf numFmtId="165" fontId="16" fillId="2" borderId="18" xfId="3" applyFont="1" applyFill="1" applyBorder="1" applyAlignment="1">
      <alignment horizontal="center" vertical="center"/>
    </xf>
    <xf numFmtId="165" fontId="8" fillId="0" borderId="19" xfId="3" applyFont="1" applyBorder="1" applyAlignment="1">
      <alignment horizontal="center" vertical="center"/>
    </xf>
    <xf numFmtId="165" fontId="6" fillId="0" borderId="14" xfId="3" applyFont="1" applyBorder="1" applyAlignment="1">
      <alignment horizontal="left" vertical="center"/>
    </xf>
    <xf numFmtId="165" fontId="11" fillId="0" borderId="9" xfId="3" applyFont="1" applyBorder="1" applyAlignment="1">
      <alignment vertical="center"/>
    </xf>
    <xf numFmtId="165" fontId="11" fillId="0" borderId="14" xfId="3" applyFont="1" applyBorder="1" applyAlignment="1">
      <alignment vertical="center"/>
    </xf>
    <xf numFmtId="166" fontId="11" fillId="0" borderId="0" xfId="3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20" xfId="3" applyNumberFormat="1" applyFont="1" applyBorder="1" applyAlignment="1">
      <alignment horizontal="center" vertical="center"/>
    </xf>
    <xf numFmtId="165" fontId="8" fillId="0" borderId="28" xfId="3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165" fontId="11" fillId="0" borderId="19" xfId="3" applyFont="1" applyBorder="1" applyAlignment="1">
      <alignment vertical="center"/>
    </xf>
    <xf numFmtId="165" fontId="11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11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8" fillId="0" borderId="31" xfId="3" applyNumberFormat="1" applyFont="1" applyBorder="1" applyAlignment="1">
      <alignment horizontal="center" vertical="center"/>
    </xf>
    <xf numFmtId="165" fontId="11" fillId="0" borderId="1" xfId="3" applyFont="1" applyFill="1" applyBorder="1" applyAlignment="1">
      <alignment horizontal="center" vertical="center"/>
    </xf>
    <xf numFmtId="165" fontId="15" fillId="0" borderId="0" xfId="3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165" fontId="11" fillId="3" borderId="2" xfId="3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165" fontId="11" fillId="3" borderId="1" xfId="3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5" fontId="11" fillId="3" borderId="0" xfId="3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166" fontId="11" fillId="0" borderId="1" xfId="3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167" fontId="11" fillId="3" borderId="2" xfId="3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13" fontId="11" fillId="3" borderId="1" xfId="0" applyNumberFormat="1" applyFont="1" applyFill="1" applyBorder="1" applyAlignment="1">
      <alignment horizontal="center" vertical="center"/>
    </xf>
    <xf numFmtId="166" fontId="11" fillId="0" borderId="1" xfId="3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0" fontId="13" fillId="0" borderId="0" xfId="1" applyAlignment="1" applyProtection="1">
      <alignment vertical="center"/>
    </xf>
    <xf numFmtId="0" fontId="8" fillId="0" borderId="0" xfId="0" applyFont="1"/>
    <xf numFmtId="0" fontId="16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165" fontId="16" fillId="2" borderId="33" xfId="3" applyFont="1" applyFill="1" applyBorder="1" applyAlignment="1">
      <alignment horizontal="center" vertical="center"/>
    </xf>
    <xf numFmtId="165" fontId="11" fillId="0" borderId="0" xfId="3" applyFont="1" applyFill="1" applyAlignment="1">
      <alignment vertical="center"/>
    </xf>
    <xf numFmtId="165" fontId="8" fillId="0" borderId="1" xfId="3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vertical="center"/>
    </xf>
    <xf numFmtId="164" fontId="8" fillId="0" borderId="34" xfId="0" applyNumberFormat="1" applyFont="1" applyBorder="1" applyAlignment="1">
      <alignment vertical="center"/>
    </xf>
    <xf numFmtId="165" fontId="8" fillId="0" borderId="35" xfId="3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3" applyFont="1" applyAlignment="1">
      <alignment horizontal="center" vertical="center"/>
    </xf>
    <xf numFmtId="165" fontId="8" fillId="0" borderId="3" xfId="3" applyFont="1" applyBorder="1" applyAlignment="1">
      <alignment horizontal="center" vertical="center"/>
    </xf>
    <xf numFmtId="2" fontId="11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11" fillId="0" borderId="0" xfId="3" applyFont="1" applyAlignment="1">
      <alignment horizontal="right" vertical="center"/>
    </xf>
    <xf numFmtId="165" fontId="8" fillId="2" borderId="7" xfId="3" applyFont="1" applyFill="1" applyBorder="1" applyAlignment="1">
      <alignment horizontal="center" vertical="center"/>
    </xf>
    <xf numFmtId="165" fontId="8" fillId="0" borderId="14" xfId="3" applyFont="1" applyBorder="1" applyAlignment="1">
      <alignment vertical="center"/>
    </xf>
    <xf numFmtId="165" fontId="8" fillId="0" borderId="9" xfId="0" applyNumberFormat="1" applyFont="1" applyBorder="1" applyAlignment="1">
      <alignment vertical="center"/>
    </xf>
    <xf numFmtId="165" fontId="8" fillId="0" borderId="9" xfId="3" applyFont="1" applyBorder="1" applyAlignment="1">
      <alignment vertical="center"/>
    </xf>
    <xf numFmtId="10" fontId="8" fillId="0" borderId="15" xfId="2" applyNumberFormat="1" applyFont="1" applyBorder="1" applyAlignment="1">
      <alignment vertical="center"/>
    </xf>
    <xf numFmtId="165" fontId="8" fillId="0" borderId="38" xfId="3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165" fontId="11" fillId="0" borderId="39" xfId="3" applyFont="1" applyBorder="1" applyAlignment="1">
      <alignment vertical="center"/>
    </xf>
    <xf numFmtId="165" fontId="11" fillId="0" borderId="40" xfId="3" applyFont="1" applyBorder="1" applyAlignment="1">
      <alignment vertical="center"/>
    </xf>
    <xf numFmtId="165" fontId="11" fillId="0" borderId="41" xfId="3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1" fontId="11" fillId="0" borderId="37" xfId="3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Continuous" vertical="center"/>
    </xf>
    <xf numFmtId="4" fontId="11" fillId="0" borderId="0" xfId="0" applyNumberFormat="1" applyFont="1" applyAlignment="1">
      <alignment vertical="center"/>
    </xf>
    <xf numFmtId="165" fontId="11" fillId="6" borderId="1" xfId="3" applyFont="1" applyFill="1" applyBorder="1" applyAlignment="1">
      <alignment horizontal="center" vertical="center"/>
    </xf>
    <xf numFmtId="165" fontId="11" fillId="6" borderId="1" xfId="3" applyFont="1" applyFill="1" applyBorder="1" applyAlignment="1">
      <alignment vertical="center"/>
    </xf>
    <xf numFmtId="9" fontId="8" fillId="0" borderId="18" xfId="2" applyFont="1" applyBorder="1" applyAlignment="1">
      <alignment vertical="center"/>
    </xf>
    <xf numFmtId="10" fontId="11" fillId="0" borderId="15" xfId="2" applyNumberFormat="1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5" fontId="11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38" xfId="0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166" fontId="8" fillId="0" borderId="0" xfId="3" applyNumberFormat="1" applyFont="1" applyBorder="1" applyAlignment="1">
      <alignment horizontal="center" vertical="center"/>
    </xf>
    <xf numFmtId="0" fontId="21" fillId="0" borderId="14" xfId="0" applyFont="1" applyBorder="1"/>
    <xf numFmtId="0" fontId="21" fillId="0" borderId="47" xfId="0" applyFont="1" applyBorder="1"/>
    <xf numFmtId="0" fontId="21" fillId="3" borderId="20" xfId="0" applyFont="1" applyFill="1" applyBorder="1"/>
    <xf numFmtId="0" fontId="21" fillId="0" borderId="23" xfId="0" applyFont="1" applyBorder="1"/>
    <xf numFmtId="0" fontId="21" fillId="0" borderId="48" xfId="0" applyFont="1" applyBorder="1"/>
    <xf numFmtId="0" fontId="21" fillId="0" borderId="20" xfId="0" applyFont="1" applyBorder="1"/>
    <xf numFmtId="0" fontId="21" fillId="0" borderId="28" xfId="0" applyFont="1" applyBorder="1"/>
    <xf numFmtId="0" fontId="22" fillId="0" borderId="2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10" fontId="22" fillId="0" borderId="20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10" fontId="26" fillId="0" borderId="20" xfId="0" applyNumberFormat="1" applyFont="1" applyBorder="1" applyAlignment="1">
      <alignment horizontal="right" vertical="center"/>
    </xf>
    <xf numFmtId="0" fontId="22" fillId="5" borderId="23" xfId="0" applyFont="1" applyFill="1" applyBorder="1" applyAlignment="1">
      <alignment horizontal="left" vertical="center"/>
    </xf>
    <xf numFmtId="0" fontId="26" fillId="5" borderId="1" xfId="0" applyFont="1" applyFill="1" applyBorder="1" applyAlignment="1">
      <alignment horizontal="left" vertical="center"/>
    </xf>
    <xf numFmtId="10" fontId="26" fillId="5" borderId="20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10" fontId="11" fillId="0" borderId="0" xfId="0" applyNumberFormat="1" applyFont="1"/>
    <xf numFmtId="9" fontId="22" fillId="0" borderId="0" xfId="2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 wrapText="1"/>
    </xf>
    <xf numFmtId="0" fontId="22" fillId="8" borderId="24" xfId="0" applyFont="1" applyFill="1" applyBorder="1" applyAlignment="1">
      <alignment horizontal="left" vertical="center"/>
    </xf>
    <xf numFmtId="0" fontId="26" fillId="8" borderId="36" xfId="0" applyFont="1" applyFill="1" applyBorder="1" applyAlignment="1">
      <alignment horizontal="left" vertical="center"/>
    </xf>
    <xf numFmtId="10" fontId="26" fillId="8" borderId="37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0" fontId="26" fillId="0" borderId="0" xfId="0" applyNumberFormat="1" applyFont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10" fontId="22" fillId="0" borderId="0" xfId="0" applyNumberFormat="1" applyFont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9" fillId="0" borderId="0" xfId="0" applyFont="1" applyAlignment="1">
      <alignment horizontal="justify" vertical="center"/>
    </xf>
    <xf numFmtId="0" fontId="13" fillId="0" borderId="0" xfId="1" applyBorder="1" applyAlignment="1" applyProtection="1">
      <alignment horizontal="left" vertical="center"/>
    </xf>
    <xf numFmtId="0" fontId="30" fillId="0" borderId="0" xfId="0" applyFont="1"/>
    <xf numFmtId="0" fontId="22" fillId="0" borderId="0" xfId="0" applyFont="1" applyAlignment="1">
      <alignment horizontal="right" vertical="center"/>
    </xf>
    <xf numFmtId="0" fontId="13" fillId="0" borderId="0" xfId="1" applyBorder="1" applyAlignment="1" applyProtection="1">
      <alignment vertical="center"/>
    </xf>
    <xf numFmtId="0" fontId="10" fillId="0" borderId="15" xfId="0" applyFont="1" applyBorder="1"/>
    <xf numFmtId="0" fontId="10" fillId="0" borderId="23" xfId="0" applyFont="1" applyBorder="1"/>
    <xf numFmtId="0" fontId="10" fillId="3" borderId="20" xfId="0" applyFont="1" applyFill="1" applyBorder="1"/>
    <xf numFmtId="0" fontId="10" fillId="0" borderId="47" xfId="0" applyFont="1" applyBorder="1"/>
    <xf numFmtId="0" fontId="10" fillId="3" borderId="48" xfId="0" applyFont="1" applyFill="1" applyBorder="1"/>
    <xf numFmtId="0" fontId="10" fillId="0" borderId="49" xfId="0" applyFont="1" applyBorder="1"/>
    <xf numFmtId="0" fontId="10" fillId="3" borderId="50" xfId="0" applyFont="1" applyFill="1" applyBorder="1"/>
    <xf numFmtId="0" fontId="10" fillId="0" borderId="38" xfId="0" applyFont="1" applyBorder="1"/>
    <xf numFmtId="0" fontId="10" fillId="0" borderId="39" xfId="0" applyFont="1" applyBorder="1"/>
    <xf numFmtId="0" fontId="12" fillId="0" borderId="48" xfId="0" applyFont="1" applyBorder="1"/>
    <xf numFmtId="0" fontId="12" fillId="0" borderId="38" xfId="0" applyFont="1" applyBorder="1" applyAlignment="1">
      <alignment horizontal="left" vertical="center"/>
    </xf>
    <xf numFmtId="9" fontId="10" fillId="0" borderId="23" xfId="2" applyFont="1" applyBorder="1"/>
    <xf numFmtId="9" fontId="10" fillId="0" borderId="1" xfId="2" applyFont="1" applyBorder="1" applyAlignment="1">
      <alignment horizontal="center"/>
    </xf>
    <xf numFmtId="9" fontId="10" fillId="0" borderId="20" xfId="2" applyFont="1" applyBorder="1"/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10" fontId="10" fillId="3" borderId="12" xfId="0" applyNumberFormat="1" applyFont="1" applyFill="1" applyBorder="1" applyAlignment="1">
      <alignment horizontal="center" vertical="center"/>
    </xf>
    <xf numFmtId="10" fontId="10" fillId="0" borderId="20" xfId="2" applyNumberFormat="1" applyFont="1" applyBorder="1"/>
    <xf numFmtId="0" fontId="10" fillId="0" borderId="2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0" fontId="10" fillId="3" borderId="20" xfId="0" applyNumberFormat="1" applyFont="1" applyFill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10" fontId="10" fillId="3" borderId="1" xfId="2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20" xfId="0" applyFont="1" applyBorder="1"/>
    <xf numFmtId="0" fontId="10" fillId="0" borderId="24" xfId="0" applyFont="1" applyBorder="1" applyAlignment="1">
      <alignment horizontal="left" vertical="center"/>
    </xf>
    <xf numFmtId="10" fontId="10" fillId="3" borderId="37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10" fontId="10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/>
    </xf>
    <xf numFmtId="10" fontId="12" fillId="5" borderId="7" xfId="0" applyNumberFormat="1" applyFont="1" applyFill="1" applyBorder="1" applyAlignment="1">
      <alignment horizontal="center" vertical="center" wrapText="1"/>
    </xf>
    <xf numFmtId="10" fontId="10" fillId="0" borderId="23" xfId="2" applyNumberFormat="1" applyFont="1" applyBorder="1" applyAlignment="1">
      <alignment horizontal="right"/>
    </xf>
    <xf numFmtId="10" fontId="10" fillId="0" borderId="1" xfId="2" applyNumberFormat="1" applyFont="1" applyBorder="1" applyAlignment="1">
      <alignment horizontal="right"/>
    </xf>
    <xf numFmtId="10" fontId="10" fillId="0" borderId="20" xfId="2" applyNumberFormat="1" applyFont="1" applyBorder="1" applyAlignment="1">
      <alignment horizontal="right"/>
    </xf>
    <xf numFmtId="10" fontId="10" fillId="0" borderId="24" xfId="2" applyNumberFormat="1" applyFont="1" applyBorder="1" applyAlignment="1">
      <alignment horizontal="right"/>
    </xf>
    <xf numFmtId="10" fontId="10" fillId="0" borderId="36" xfId="2" applyNumberFormat="1" applyFont="1" applyBorder="1" applyAlignment="1">
      <alignment horizontal="right"/>
    </xf>
    <xf numFmtId="10" fontId="10" fillId="0" borderId="37" xfId="2" applyNumberFormat="1" applyFont="1" applyBorder="1" applyAlignment="1">
      <alignment horizontal="right"/>
    </xf>
    <xf numFmtId="0" fontId="11" fillId="0" borderId="52" xfId="0" applyFont="1" applyBorder="1"/>
    <xf numFmtId="0" fontId="23" fillId="0" borderId="52" xfId="0" applyFont="1" applyBorder="1" applyAlignment="1">
      <alignment horizontal="justify"/>
    </xf>
    <xf numFmtId="0" fontId="23" fillId="0" borderId="53" xfId="0" applyFont="1" applyBorder="1" applyAlignment="1">
      <alignment horizontal="justify"/>
    </xf>
    <xf numFmtId="0" fontId="20" fillId="9" borderId="51" xfId="0" applyFont="1" applyFill="1" applyBorder="1" applyAlignment="1">
      <alignment horizontal="center"/>
    </xf>
    <xf numFmtId="1" fontId="11" fillId="0" borderId="0" xfId="3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165" fontId="11" fillId="3" borderId="9" xfId="3" applyFont="1" applyFill="1" applyBorder="1" applyAlignment="1">
      <alignment vertical="center"/>
    </xf>
    <xf numFmtId="165" fontId="11" fillId="0" borderId="10" xfId="3" applyFont="1" applyBorder="1" applyAlignment="1">
      <alignment vertical="center"/>
    </xf>
    <xf numFmtId="165" fontId="8" fillId="0" borderId="7" xfId="3" applyFont="1" applyBorder="1" applyAlignment="1">
      <alignment horizontal="right" vertical="center"/>
    </xf>
    <xf numFmtId="165" fontId="8" fillId="2" borderId="4" xfId="3" applyFont="1" applyFill="1" applyBorder="1" applyAlignment="1">
      <alignment horizontal="right" vertical="center"/>
    </xf>
    <xf numFmtId="168" fontId="8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8" fillId="0" borderId="36" xfId="0" applyNumberFormat="1" applyFont="1" applyBorder="1" applyAlignment="1">
      <alignment vertical="center"/>
    </xf>
    <xf numFmtId="165" fontId="8" fillId="0" borderId="11" xfId="3" applyFont="1" applyBorder="1" applyAlignment="1">
      <alignment vertical="center"/>
    </xf>
    <xf numFmtId="165" fontId="8" fillId="0" borderId="5" xfId="3" applyFont="1" applyBorder="1" applyAlignment="1">
      <alignment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8" fillId="0" borderId="9" xfId="3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167" fontId="11" fillId="0" borderId="1" xfId="3" applyNumberFormat="1" applyFont="1" applyBorder="1" applyAlignment="1">
      <alignment horizontal="center" vertical="center"/>
    </xf>
    <xf numFmtId="166" fontId="8" fillId="0" borderId="1" xfId="3" applyNumberFormat="1" applyFont="1" applyBorder="1" applyAlignment="1">
      <alignment horizontal="center" vertical="center"/>
    </xf>
    <xf numFmtId="167" fontId="8" fillId="0" borderId="1" xfId="3" applyNumberFormat="1" applyFont="1" applyBorder="1" applyAlignment="1">
      <alignment horizontal="center" vertical="center"/>
    </xf>
    <xf numFmtId="167" fontId="11" fillId="0" borderId="2" xfId="3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/>
    <xf numFmtId="0" fontId="8" fillId="0" borderId="54" xfId="0" applyFont="1" applyBorder="1" applyAlignment="1">
      <alignment vertical="center"/>
    </xf>
    <xf numFmtId="0" fontId="8" fillId="0" borderId="54" xfId="0" applyFont="1" applyBorder="1" applyAlignment="1">
      <alignment horizontal="center" vertical="center"/>
    </xf>
    <xf numFmtId="165" fontId="8" fillId="0" borderId="54" xfId="3" applyFont="1" applyBorder="1" applyAlignment="1">
      <alignment horizontal="center" vertical="center"/>
    </xf>
    <xf numFmtId="165" fontId="8" fillId="0" borderId="54" xfId="3" applyFont="1" applyFill="1" applyBorder="1" applyAlignment="1">
      <alignment horizontal="center" vertical="center"/>
    </xf>
    <xf numFmtId="0" fontId="10" fillId="0" borderId="23" xfId="0" applyFont="1" applyBorder="1" applyAlignment="1">
      <alignment horizontal="right"/>
    </xf>
    <xf numFmtId="4" fontId="32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0" fontId="31" fillId="0" borderId="0" xfId="0" applyFont="1"/>
    <xf numFmtId="0" fontId="6" fillId="0" borderId="2" xfId="0" applyFont="1" applyBorder="1" applyAlignment="1">
      <alignment vertical="center"/>
    </xf>
    <xf numFmtId="169" fontId="12" fillId="0" borderId="20" xfId="0" applyNumberFormat="1" applyFont="1" applyBorder="1"/>
    <xf numFmtId="9" fontId="21" fillId="0" borderId="20" xfId="2" applyFont="1" applyBorder="1"/>
    <xf numFmtId="10" fontId="21" fillId="0" borderId="20" xfId="2" applyNumberFormat="1" applyFont="1" applyBorder="1"/>
    <xf numFmtId="9" fontId="12" fillId="0" borderId="31" xfId="2" applyFont="1" applyBorder="1"/>
    <xf numFmtId="0" fontId="10" fillId="0" borderId="55" xfId="0" applyFont="1" applyBorder="1"/>
    <xf numFmtId="165" fontId="6" fillId="3" borderId="2" xfId="3" applyFont="1" applyFill="1" applyBorder="1" applyAlignment="1">
      <alignment horizontal="center" vertical="center"/>
    </xf>
    <xf numFmtId="10" fontId="8" fillId="3" borderId="7" xfId="2" applyNumberFormat="1" applyFont="1" applyFill="1" applyBorder="1" applyAlignment="1">
      <alignment vertical="center"/>
    </xf>
    <xf numFmtId="172" fontId="11" fillId="0" borderId="1" xfId="3" applyNumberFormat="1" applyFont="1" applyBorder="1" applyAlignment="1">
      <alignment vertical="center"/>
    </xf>
    <xf numFmtId="165" fontId="8" fillId="0" borderId="14" xfId="3" applyFont="1" applyBorder="1" applyAlignment="1">
      <alignment horizontal="left" vertical="center"/>
    </xf>
    <xf numFmtId="0" fontId="35" fillId="0" borderId="0" xfId="25" applyFont="1"/>
    <xf numFmtId="0" fontId="4" fillId="0" borderId="0" xfId="25"/>
    <xf numFmtId="0" fontId="35" fillId="0" borderId="1" xfId="25" applyFont="1" applyBorder="1"/>
    <xf numFmtId="0" fontId="35" fillId="0" borderId="1" xfId="25" applyFont="1" applyBorder="1" applyAlignment="1">
      <alignment horizontal="center"/>
    </xf>
    <xf numFmtId="20" fontId="35" fillId="0" borderId="1" xfId="25" applyNumberFormat="1" applyFont="1" applyBorder="1"/>
    <xf numFmtId="0" fontId="4" fillId="0" borderId="8" xfId="25" applyBorder="1"/>
    <xf numFmtId="0" fontId="4" fillId="0" borderId="9" xfId="25" applyBorder="1"/>
    <xf numFmtId="0" fontId="4" fillId="0" borderId="1" xfId="25" applyBorder="1"/>
    <xf numFmtId="0" fontId="35" fillId="0" borderId="8" xfId="25" applyFont="1" applyBorder="1"/>
    <xf numFmtId="0" fontId="35" fillId="0" borderId="9" xfId="25" applyFont="1" applyBorder="1"/>
    <xf numFmtId="10" fontId="35" fillId="0" borderId="1" xfId="2" applyNumberFormat="1" applyFont="1" applyBorder="1"/>
    <xf numFmtId="10" fontId="4" fillId="0" borderId="0" xfId="2" applyNumberFormat="1" applyFont="1"/>
    <xf numFmtId="165" fontId="0" fillId="3" borderId="1" xfId="3" applyFont="1" applyFill="1" applyBorder="1"/>
    <xf numFmtId="13" fontId="6" fillId="3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4" fillId="0" borderId="1" xfId="3" applyFont="1" applyBorder="1"/>
    <xf numFmtId="0" fontId="6" fillId="0" borderId="2" xfId="0" applyFont="1" applyBorder="1" applyAlignment="1">
      <alignment horizontal="center" vertical="center"/>
    </xf>
    <xf numFmtId="13" fontId="11" fillId="3" borderId="1" xfId="0" applyNumberFormat="1" applyFont="1" applyFill="1" applyBorder="1" applyAlignment="1">
      <alignment vertical="center"/>
    </xf>
    <xf numFmtId="4" fontId="9" fillId="0" borderId="0" xfId="0" applyNumberFormat="1" applyFont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36" fillId="0" borderId="0" xfId="4" applyFont="1"/>
    <xf numFmtId="0" fontId="8" fillId="0" borderId="0" xfId="9" applyFont="1"/>
    <xf numFmtId="0" fontId="6" fillId="0" borderId="0" xfId="9"/>
    <xf numFmtId="0" fontId="8" fillId="0" borderId="1" xfId="9" applyFont="1" applyBorder="1" applyAlignment="1">
      <alignment horizontal="center"/>
    </xf>
    <xf numFmtId="0" fontId="6" fillId="0" borderId="1" xfId="9" applyBorder="1" applyAlignment="1">
      <alignment horizontal="center"/>
    </xf>
    <xf numFmtId="0" fontId="6" fillId="0" borderId="1" xfId="9" applyBorder="1"/>
    <xf numFmtId="165" fontId="0" fillId="0" borderId="1" xfId="3" applyFont="1" applyBorder="1"/>
    <xf numFmtId="0" fontId="8" fillId="0" borderId="1" xfId="9" applyFont="1" applyBorder="1"/>
    <xf numFmtId="165" fontId="8" fillId="0" borderId="1" xfId="3" applyFont="1" applyBorder="1"/>
    <xf numFmtId="20" fontId="4" fillId="0" borderId="0" xfId="25" applyNumberFormat="1"/>
    <xf numFmtId="1" fontId="35" fillId="0" borderId="1" xfId="25" applyNumberFormat="1" applyFont="1" applyBorder="1"/>
    <xf numFmtId="0" fontId="6" fillId="0" borderId="1" xfId="0" applyFont="1" applyBorder="1" applyAlignment="1">
      <alignment horizontal="center" vertical="center"/>
    </xf>
    <xf numFmtId="13" fontId="11" fillId="3" borderId="1" xfId="0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9" applyBorder="1" applyAlignment="1">
      <alignment wrapText="1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26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12" fillId="7" borderId="44" xfId="0" applyFont="1" applyFill="1" applyBorder="1" applyAlignment="1">
      <alignment horizontal="center" vertical="center"/>
    </xf>
    <xf numFmtId="0" fontId="12" fillId="7" borderId="42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165" fontId="9" fillId="7" borderId="5" xfId="3" applyFont="1" applyFill="1" applyBorder="1" applyAlignment="1">
      <alignment horizontal="center" vertical="center"/>
    </xf>
    <xf numFmtId="165" fontId="9" fillId="7" borderId="6" xfId="3" applyFont="1" applyFill="1" applyBorder="1" applyAlignment="1">
      <alignment horizontal="center" vertical="center"/>
    </xf>
    <xf numFmtId="165" fontId="9" fillId="7" borderId="7" xfId="3" applyFont="1" applyFill="1" applyBorder="1" applyAlignment="1">
      <alignment horizontal="center" vertical="center"/>
    </xf>
    <xf numFmtId="165" fontId="8" fillId="0" borderId="14" xfId="3" applyFont="1" applyBorder="1" applyAlignment="1">
      <alignment horizontal="left" vertical="center"/>
    </xf>
    <xf numFmtId="165" fontId="8" fillId="0" borderId="9" xfId="3" applyFont="1" applyBorder="1" applyAlignment="1">
      <alignment horizontal="left" vertical="center"/>
    </xf>
    <xf numFmtId="165" fontId="8" fillId="0" borderId="5" xfId="3" applyFont="1" applyBorder="1" applyAlignment="1">
      <alignment horizontal="center" vertical="center"/>
    </xf>
    <xf numFmtId="165" fontId="8" fillId="0" borderId="6" xfId="3" applyFont="1" applyBorder="1" applyAlignment="1">
      <alignment horizontal="center" vertical="center"/>
    </xf>
    <xf numFmtId="165" fontId="8" fillId="0" borderId="43" xfId="3" applyFont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/>
    </xf>
    <xf numFmtId="0" fontId="20" fillId="9" borderId="46" xfId="0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9" fontId="12" fillId="0" borderId="21" xfId="2" applyFont="1" applyBorder="1" applyAlignment="1">
      <alignment horizontal="center"/>
    </xf>
    <xf numFmtId="9" fontId="12" fillId="0" borderId="22" xfId="2" applyFont="1" applyBorder="1" applyAlignment="1">
      <alignment horizontal="center"/>
    </xf>
    <xf numFmtId="9" fontId="12" fillId="0" borderId="12" xfId="2" applyFont="1" applyBorder="1" applyAlignment="1">
      <alignment horizontal="center"/>
    </xf>
    <xf numFmtId="0" fontId="9" fillId="9" borderId="25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</cellXfs>
  <cellStyles count="34">
    <cellStyle name="Hiperlink" xfId="1" builtinId="8"/>
    <cellStyle name="Moeda 2" xfId="6" xr:uid="{00000000-0005-0000-0000-000001000000}"/>
    <cellStyle name="Moeda 3" xfId="7" xr:uid="{00000000-0005-0000-0000-000002000000}"/>
    <cellStyle name="Normal" xfId="0" builtinId="0"/>
    <cellStyle name="Normal 10" xfId="26" xr:uid="{00000000-0005-0000-0000-000004000000}"/>
    <cellStyle name="Normal 11" xfId="27" xr:uid="{00000000-0005-0000-0000-000005000000}"/>
    <cellStyle name="Normal 12" xfId="30" xr:uid="{00000000-0005-0000-0000-000006000000}"/>
    <cellStyle name="Normal 13" xfId="32" xr:uid="{00000000-0005-0000-0000-000007000000}"/>
    <cellStyle name="Normal 2" xfId="8" xr:uid="{00000000-0005-0000-0000-000008000000}"/>
    <cellStyle name="Normal 2 2" xfId="9" xr:uid="{00000000-0005-0000-0000-000009000000}"/>
    <cellStyle name="Normal 2 3" xfId="25" xr:uid="{00000000-0005-0000-0000-00000A000000}"/>
    <cellStyle name="Normal 3" xfId="10" xr:uid="{00000000-0005-0000-0000-00000B000000}"/>
    <cellStyle name="Normal 4" xfId="11" xr:uid="{00000000-0005-0000-0000-00000C000000}"/>
    <cellStyle name="Normal 5" xfId="12" xr:uid="{00000000-0005-0000-0000-00000D000000}"/>
    <cellStyle name="Normal 6" xfId="4" xr:uid="{00000000-0005-0000-0000-00000E000000}"/>
    <cellStyle name="Normal 7" xfId="13" xr:uid="{00000000-0005-0000-0000-00000F000000}"/>
    <cellStyle name="Normal 8" xfId="14" xr:uid="{00000000-0005-0000-0000-000010000000}"/>
    <cellStyle name="Normal 9" xfId="15" xr:uid="{00000000-0005-0000-0000-000011000000}"/>
    <cellStyle name="Porcentagem" xfId="2" builtinId="5"/>
    <cellStyle name="Porcentagem 2" xfId="16" xr:uid="{00000000-0005-0000-0000-000013000000}"/>
    <cellStyle name="Porcentagem 3" xfId="17" xr:uid="{00000000-0005-0000-0000-000014000000}"/>
    <cellStyle name="Separador de milhares 10" xfId="28" xr:uid="{00000000-0005-0000-0000-000015000000}"/>
    <cellStyle name="Separador de milhares 11" xfId="31" xr:uid="{00000000-0005-0000-0000-000016000000}"/>
    <cellStyle name="Separador de milhares 12" xfId="33" xr:uid="{00000000-0005-0000-0000-000017000000}"/>
    <cellStyle name="Separador de milhares 2" xfId="18" xr:uid="{00000000-0005-0000-0000-000018000000}"/>
    <cellStyle name="Separador de milhares 3" xfId="19" xr:uid="{00000000-0005-0000-0000-000019000000}"/>
    <cellStyle name="Separador de milhares 4" xfId="20" xr:uid="{00000000-0005-0000-0000-00001A000000}"/>
    <cellStyle name="Separador de milhares 5" xfId="5" xr:uid="{00000000-0005-0000-0000-00001B000000}"/>
    <cellStyle name="Separador de milhares 6" xfId="21" xr:uid="{00000000-0005-0000-0000-00001C000000}"/>
    <cellStyle name="Separador de milhares 7" xfId="22" xr:uid="{00000000-0005-0000-0000-00001D000000}"/>
    <cellStyle name="Separador de milhares 8" xfId="23" xr:uid="{00000000-0005-0000-0000-00001E000000}"/>
    <cellStyle name="Separador de milhares 9" xfId="29" xr:uid="{00000000-0005-0000-0000-00001F000000}"/>
    <cellStyle name="Vírgula" xfId="3" builtinId="3"/>
    <cellStyle name="Vírgula 2" xfId="24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>
          <a:extLst>
            <a:ext uri="{FF2B5EF4-FFF2-40B4-BE49-F238E27FC236}">
              <a16:creationId xmlns:a16="http://schemas.microsoft.com/office/drawing/2014/main" id="{00000000-0008-0000-0600-00006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>
          <a:extLst>
            <a:ext uri="{FF2B5EF4-FFF2-40B4-BE49-F238E27FC236}">
              <a16:creationId xmlns:a16="http://schemas.microsoft.com/office/drawing/2014/main" id="{00000000-0008-0000-0600-00006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2"/>
  <sheetViews>
    <sheetView view="pageBreakPreview" topLeftCell="A11" zoomScaleSheetLayoutView="100" workbookViewId="0">
      <selection activeCell="A11" sqref="A11"/>
    </sheetView>
  </sheetViews>
  <sheetFormatPr defaultColWidth="9.140625" defaultRowHeight="12.75" x14ac:dyDescent="0.2"/>
  <cols>
    <col min="1" max="1" width="46.28515625" style="9" customWidth="1"/>
    <col min="2" max="2" width="16" style="9" bestFit="1" customWidth="1"/>
    <col min="3" max="3" width="11.85546875" style="9" customWidth="1"/>
    <col min="4" max="4" width="14.7109375" style="10" customWidth="1"/>
    <col min="5" max="5" width="15.42578125" style="10" customWidth="1"/>
    <col min="6" max="6" width="13.28515625" style="10" customWidth="1"/>
    <col min="7" max="7" width="28.140625" style="10" customWidth="1"/>
    <col min="8" max="8" width="9.140625" style="9"/>
    <col min="9" max="9" width="14.5703125" style="9" customWidth="1"/>
    <col min="10" max="10" width="13.42578125" style="9" customWidth="1"/>
    <col min="11" max="16384" width="9.140625" style="9"/>
  </cols>
  <sheetData>
    <row r="1" spans="1:7" ht="15.75" hidden="1" x14ac:dyDescent="0.2">
      <c r="A1" s="53" t="s">
        <v>178</v>
      </c>
    </row>
    <row r="2" spans="1:7" ht="15.75" hidden="1" x14ac:dyDescent="0.2">
      <c r="A2" s="283" t="s">
        <v>237</v>
      </c>
    </row>
    <row r="3" spans="1:7" ht="15.75" hidden="1" x14ac:dyDescent="0.2">
      <c r="A3" s="283" t="s">
        <v>238</v>
      </c>
    </row>
    <row r="4" spans="1:7" ht="15.75" hidden="1" x14ac:dyDescent="0.2">
      <c r="A4" s="283" t="s">
        <v>240</v>
      </c>
    </row>
    <row r="5" spans="1:7" s="4" customFormat="1" ht="15.6" hidden="1" customHeight="1" x14ac:dyDescent="0.2">
      <c r="A5" s="53" t="s">
        <v>236</v>
      </c>
      <c r="C5" s="5"/>
      <c r="D5" s="5"/>
      <c r="E5" s="5"/>
      <c r="F5" s="5"/>
      <c r="G5" s="6"/>
    </row>
    <row r="6" spans="1:7" s="4" customFormat="1" ht="15.6" hidden="1" customHeight="1" x14ac:dyDescent="0.2">
      <c r="A6" s="252" t="s">
        <v>239</v>
      </c>
      <c r="B6" s="5"/>
      <c r="C6" s="5"/>
      <c r="D6" s="5"/>
      <c r="E6" s="5"/>
      <c r="F6" s="5"/>
      <c r="G6" s="6"/>
    </row>
    <row r="7" spans="1:7" s="4" customFormat="1" ht="15.6" hidden="1" customHeight="1" x14ac:dyDescent="0.2">
      <c r="A7" s="7"/>
      <c r="B7" s="5"/>
      <c r="C7" s="5"/>
      <c r="D7" s="5"/>
      <c r="E7" s="5"/>
      <c r="F7" s="5"/>
      <c r="G7" s="6"/>
    </row>
    <row r="8" spans="1:7" s="4" customFormat="1" ht="15.6" hidden="1" customHeight="1" x14ac:dyDescent="0.2">
      <c r="A8" s="253" t="s">
        <v>245</v>
      </c>
      <c r="B8" s="5"/>
      <c r="C8" s="5"/>
      <c r="D8" s="5"/>
      <c r="E8" s="5"/>
      <c r="F8" s="5"/>
      <c r="G8" s="6"/>
    </row>
    <row r="9" spans="1:7" s="4" customFormat="1" ht="15.6" hidden="1" customHeight="1" x14ac:dyDescent="0.2">
      <c r="A9" s="283" t="s">
        <v>242</v>
      </c>
      <c r="B9" s="5"/>
      <c r="C9" s="5"/>
      <c r="D9" s="5"/>
      <c r="E9" s="5"/>
      <c r="F9" s="5"/>
      <c r="G9" s="6"/>
    </row>
    <row r="10" spans="1:7" s="4" customFormat="1" ht="16.5" hidden="1" customHeight="1" x14ac:dyDescent="0.2">
      <c r="A10" s="7"/>
      <c r="B10" s="5"/>
      <c r="C10" s="5"/>
      <c r="D10" s="6"/>
      <c r="E10" s="6"/>
      <c r="F10" s="6"/>
      <c r="G10" s="6"/>
    </row>
    <row r="11" spans="1:7" s="4" customFormat="1" ht="16.5" customHeight="1" thickBot="1" x14ac:dyDescent="0.25">
      <c r="A11" s="136" t="s">
        <v>316</v>
      </c>
      <c r="B11" s="5"/>
      <c r="C11" s="5"/>
      <c r="D11" s="6"/>
      <c r="E11" s="6"/>
      <c r="F11" s="6"/>
      <c r="G11" s="6"/>
    </row>
    <row r="12" spans="1:7" s="8" customFormat="1" ht="18" x14ac:dyDescent="0.2">
      <c r="A12" s="303" t="s">
        <v>335</v>
      </c>
      <c r="B12" s="304"/>
      <c r="C12" s="304"/>
      <c r="D12" s="304"/>
      <c r="E12" s="304"/>
      <c r="F12" s="305"/>
      <c r="G12" s="35"/>
    </row>
    <row r="13" spans="1:7" s="8" customFormat="1" ht="21.75" customHeight="1" x14ac:dyDescent="0.2">
      <c r="A13" s="306" t="s">
        <v>40</v>
      </c>
      <c r="B13" s="307"/>
      <c r="C13" s="307"/>
      <c r="D13" s="307"/>
      <c r="E13" s="307"/>
      <c r="F13" s="308"/>
      <c r="G13" s="35"/>
    </row>
    <row r="14" spans="1:7" s="4" customFormat="1" ht="10.9" customHeight="1" thickBot="1" x14ac:dyDescent="0.25">
      <c r="A14" s="137"/>
      <c r="B14" s="5"/>
      <c r="C14" s="5"/>
      <c r="D14" s="138"/>
      <c r="E14" s="138"/>
      <c r="F14" s="139"/>
      <c r="G14" s="6"/>
    </row>
    <row r="15" spans="1:7" s="4" customFormat="1" ht="15.75" customHeight="1" thickBot="1" x14ac:dyDescent="0.25">
      <c r="A15" s="309" t="s">
        <v>177</v>
      </c>
      <c r="B15" s="310"/>
      <c r="C15" s="310"/>
      <c r="D15" s="310"/>
      <c r="E15" s="310"/>
      <c r="F15" s="311"/>
      <c r="G15" s="6"/>
    </row>
    <row r="16" spans="1:7" s="4" customFormat="1" ht="15.75" customHeight="1" x14ac:dyDescent="0.2">
      <c r="A16" s="61" t="s">
        <v>176</v>
      </c>
      <c r="B16" s="39"/>
      <c r="C16" s="39"/>
      <c r="D16" s="233"/>
      <c r="E16" s="107" t="s">
        <v>35</v>
      </c>
      <c r="F16" s="40" t="s">
        <v>2</v>
      </c>
      <c r="G16" s="6"/>
    </row>
    <row r="17" spans="1:7" s="11" customFormat="1" ht="15.75" customHeight="1" x14ac:dyDescent="0.2">
      <c r="A17" s="116" t="str">
        <f>A54</f>
        <v>1. Mão-de-obra</v>
      </c>
      <c r="B17" s="117"/>
      <c r="C17" s="118"/>
      <c r="D17" s="118"/>
      <c r="E17" s="230">
        <f>+F146</f>
        <v>40395.23977694114</v>
      </c>
      <c r="F17" s="119">
        <f>IFERROR(E17/$E$37,0)</f>
        <v>1.5459914385859761</v>
      </c>
      <c r="G17" s="43"/>
    </row>
    <row r="18" spans="1:7" s="4" customFormat="1" ht="15.75" customHeight="1" x14ac:dyDescent="0.2">
      <c r="A18" s="48" t="str">
        <f>A56</f>
        <v>1.1. Reciclador de lixo urbano CBO 5192</v>
      </c>
      <c r="B18" s="44"/>
      <c r="C18" s="46"/>
      <c r="D18" s="46"/>
      <c r="E18" s="231">
        <f>F67</f>
        <v>26810.779091843604</v>
      </c>
      <c r="F18" s="55">
        <f>IFERROR(E18/$E$37,0)</f>
        <v>1.0260920634879018</v>
      </c>
      <c r="G18" s="6"/>
    </row>
    <row r="19" spans="1:7" s="4" customFormat="1" ht="15.75" customHeight="1" x14ac:dyDescent="0.2">
      <c r="A19" s="48" t="str">
        <f>A69</f>
        <v>1.2. Supervisor do Centro de Triagem</v>
      </c>
      <c r="B19" s="44"/>
      <c r="C19" s="46"/>
      <c r="D19" s="46"/>
      <c r="E19" s="231">
        <f>F86</f>
        <v>4852.8949448000003</v>
      </c>
      <c r="F19" s="55">
        <f t="shared" ref="F19:F36" si="0">IFERROR(E19/$E$37,0)</f>
        <v>0.18572817189466576</v>
      </c>
      <c r="G19" s="6"/>
    </row>
    <row r="20" spans="1:7" s="4" customFormat="1" ht="15.75" customHeight="1" x14ac:dyDescent="0.2">
      <c r="A20" s="48" t="str">
        <f>A88</f>
        <v xml:space="preserve">1.3. Operador de máquinas </v>
      </c>
      <c r="B20" s="44"/>
      <c r="C20" s="46"/>
      <c r="D20" s="46"/>
      <c r="E20" s="231">
        <f>F101</f>
        <v>4697.5268018360002</v>
      </c>
      <c r="F20" s="55">
        <f t="shared" si="0"/>
        <v>0.17978198070536483</v>
      </c>
      <c r="G20" s="6"/>
    </row>
    <row r="21" spans="1:7" s="4" customFormat="1" ht="15.75" hidden="1" customHeight="1" x14ac:dyDescent="0.2">
      <c r="A21" s="48" t="str">
        <f>A102</f>
        <v xml:space="preserve">1.4. Auxiliar de serviços gerais </v>
      </c>
      <c r="B21" s="44"/>
      <c r="C21" s="46"/>
      <c r="D21" s="46"/>
      <c r="E21" s="231">
        <f>F121</f>
        <v>0</v>
      </c>
      <c r="F21" s="55">
        <f t="shared" si="0"/>
        <v>0</v>
      </c>
      <c r="G21" s="6"/>
    </row>
    <row r="22" spans="1:7" s="4" customFormat="1" ht="15.75" customHeight="1" x14ac:dyDescent="0.2">
      <c r="A22" s="48" t="str">
        <f>A123</f>
        <v>1.4. Vale Transporte</v>
      </c>
      <c r="B22" s="44"/>
      <c r="C22" s="46"/>
      <c r="D22" s="46"/>
      <c r="E22" s="231">
        <f>F131</f>
        <v>666.05893846153822</v>
      </c>
      <c r="F22" s="55">
        <f t="shared" si="0"/>
        <v>2.5491157426994621E-2</v>
      </c>
      <c r="G22" s="6"/>
    </row>
    <row r="23" spans="1:7" s="4" customFormat="1" ht="15.75" customHeight="1" x14ac:dyDescent="0.2">
      <c r="A23" s="48" t="str">
        <f>A134</f>
        <v>1.5. Vale-refeição (diário)</v>
      </c>
      <c r="B23" s="44"/>
      <c r="C23" s="46"/>
      <c r="D23" s="46"/>
      <c r="E23" s="231">
        <f>F138</f>
        <v>3367.98</v>
      </c>
      <c r="F23" s="55">
        <f t="shared" si="0"/>
        <v>0.12889806507104926</v>
      </c>
      <c r="G23" s="6"/>
    </row>
    <row r="24" spans="1:7" s="4" customFormat="1" ht="15.75" hidden="1" customHeight="1" x14ac:dyDescent="0.2">
      <c r="A24" s="48" t="str">
        <f>A140</f>
        <v>1.7. Auxílio Alimentação (mensal)</v>
      </c>
      <c r="B24" s="44"/>
      <c r="C24" s="46"/>
      <c r="D24" s="46"/>
      <c r="E24" s="231">
        <f>F144</f>
        <v>0</v>
      </c>
      <c r="F24" s="55">
        <f t="shared" si="0"/>
        <v>0</v>
      </c>
      <c r="G24" s="6"/>
    </row>
    <row r="25" spans="1:7" s="11" customFormat="1" ht="15.75" customHeight="1" x14ac:dyDescent="0.2">
      <c r="A25" s="312" t="str">
        <f>A148</f>
        <v>2. Uniformes e Equipamentos de Proteção Individual</v>
      </c>
      <c r="B25" s="313"/>
      <c r="C25" s="313"/>
      <c r="D25" s="118"/>
      <c r="E25" s="230">
        <f>+F175</f>
        <v>765</v>
      </c>
      <c r="F25" s="119">
        <f t="shared" si="0"/>
        <v>2.9277792557958381E-2</v>
      </c>
      <c r="G25" s="43"/>
    </row>
    <row r="26" spans="1:7" s="11" customFormat="1" ht="15.75" customHeight="1" x14ac:dyDescent="0.2">
      <c r="A26" s="264" t="str">
        <f>A177</f>
        <v xml:space="preserve">3. Máquinas, Equipamentos e Instalações </v>
      </c>
      <c r="B26" s="127"/>
      <c r="C26" s="118"/>
      <c r="D26" s="118"/>
      <c r="E26" s="230">
        <f>+F252</f>
        <v>6650</v>
      </c>
      <c r="F26" s="119">
        <f t="shared" si="0"/>
        <v>0.2545063013208147</v>
      </c>
      <c r="G26" s="43"/>
    </row>
    <row r="27" spans="1:7" s="4" customFormat="1" ht="15.75" customHeight="1" x14ac:dyDescent="0.2">
      <c r="A27" s="62" t="str">
        <f>A179</f>
        <v xml:space="preserve">3.1. Máquinas e Equipamentos </v>
      </c>
      <c r="B27" s="45"/>
      <c r="C27" s="46"/>
      <c r="D27" s="46"/>
      <c r="E27" s="231">
        <f>SUM(E28:E33)</f>
        <v>6650</v>
      </c>
      <c r="F27" s="132">
        <f t="shared" si="0"/>
        <v>0.2545063013208147</v>
      </c>
      <c r="G27" s="6"/>
    </row>
    <row r="28" spans="1:7" s="4" customFormat="1" ht="15.75" hidden="1" customHeight="1" x14ac:dyDescent="0.2">
      <c r="A28" s="62" t="str">
        <f>A181</f>
        <v>3.1.1. Depreciação</v>
      </c>
      <c r="B28" s="45"/>
      <c r="C28" s="46"/>
      <c r="D28" s="46"/>
      <c r="E28" s="231">
        <f>F195</f>
        <v>0</v>
      </c>
      <c r="F28" s="132">
        <f t="shared" si="0"/>
        <v>0</v>
      </c>
      <c r="G28" s="6"/>
    </row>
    <row r="29" spans="1:7" s="4" customFormat="1" ht="15.75" hidden="1" customHeight="1" x14ac:dyDescent="0.2">
      <c r="A29" s="62" t="str">
        <f>A197</f>
        <v>3.1.2. Remuneração do Capital</v>
      </c>
      <c r="B29" s="45"/>
      <c r="C29" s="46"/>
      <c r="D29" s="46"/>
      <c r="E29" s="231">
        <f>F211</f>
        <v>0</v>
      </c>
      <c r="F29" s="132">
        <f t="shared" si="0"/>
        <v>0</v>
      </c>
      <c r="G29" s="6"/>
    </row>
    <row r="30" spans="1:7" s="4" customFormat="1" ht="15.75" hidden="1" customHeight="1" x14ac:dyDescent="0.2">
      <c r="A30" s="62" t="str">
        <f>A213</f>
        <v>3.1.3. Impostos e Seguros</v>
      </c>
      <c r="B30" s="45"/>
      <c r="C30" s="46"/>
      <c r="D30" s="46"/>
      <c r="E30" s="231">
        <f>F219</f>
        <v>0</v>
      </c>
      <c r="F30" s="132">
        <f t="shared" si="0"/>
        <v>0</v>
      </c>
      <c r="G30" s="6"/>
    </row>
    <row r="31" spans="1:7" s="4" customFormat="1" ht="15.75" hidden="1" customHeight="1" x14ac:dyDescent="0.2">
      <c r="A31" s="62" t="str">
        <f>A221</f>
        <v>3.1.4. Consumos</v>
      </c>
      <c r="B31" s="45"/>
      <c r="C31" s="46"/>
      <c r="D31" s="46"/>
      <c r="E31" s="231">
        <f>F237</f>
        <v>0</v>
      </c>
      <c r="F31" s="132">
        <f t="shared" si="0"/>
        <v>0</v>
      </c>
      <c r="G31" s="6"/>
    </row>
    <row r="32" spans="1:7" s="4" customFormat="1" ht="15.75" hidden="1" customHeight="1" x14ac:dyDescent="0.2">
      <c r="A32" s="62" t="str">
        <f>A239</f>
        <v>3.1.1. Custos da Retroescavadeira</v>
      </c>
      <c r="B32" s="45"/>
      <c r="C32" s="46"/>
      <c r="D32" s="46"/>
      <c r="E32" s="231">
        <f>F243</f>
        <v>0</v>
      </c>
      <c r="F32" s="132">
        <f t="shared" si="0"/>
        <v>0</v>
      </c>
      <c r="G32" s="6"/>
    </row>
    <row r="33" spans="1:7" s="4" customFormat="1" ht="15.75" customHeight="1" x14ac:dyDescent="0.2">
      <c r="A33" s="62" t="str">
        <f>A245</f>
        <v>3.1.1. Manutenção de instalações e equipamentos</v>
      </c>
      <c r="B33" s="45"/>
      <c r="C33" s="46"/>
      <c r="D33" s="46"/>
      <c r="E33" s="231">
        <f>F249</f>
        <v>6650</v>
      </c>
      <c r="F33" s="132">
        <f t="shared" si="0"/>
        <v>0.2545063013208147</v>
      </c>
      <c r="G33" s="6"/>
    </row>
    <row r="34" spans="1:7" s="11" customFormat="1" ht="15.75" customHeight="1" x14ac:dyDescent="0.2">
      <c r="A34" s="264" t="str">
        <f>A254</f>
        <v>4. Ferramentas, Materiais de Consumo e Deslocamento</v>
      </c>
      <c r="B34" s="127"/>
      <c r="C34" s="118"/>
      <c r="D34" s="118"/>
      <c r="E34" s="230">
        <f>+F264</f>
        <v>1765</v>
      </c>
      <c r="F34" s="119">
        <f t="shared" si="0"/>
        <v>6.7549416816727506E-2</v>
      </c>
      <c r="G34" s="43"/>
    </row>
    <row r="35" spans="1:7" s="11" customFormat="1" ht="15.75" customHeight="1" x14ac:dyDescent="0.2">
      <c r="A35" s="264" t="str">
        <f>A266</f>
        <v xml:space="preserve">5. Venda do Material Reciclado </v>
      </c>
      <c r="B35" s="127"/>
      <c r="C35" s="118"/>
      <c r="D35" s="118"/>
      <c r="E35" s="230">
        <f>+F271</f>
        <v>-28800</v>
      </c>
      <c r="F35" s="119">
        <f t="shared" si="0"/>
        <v>-1.1022227786525509</v>
      </c>
      <c r="G35" s="43"/>
    </row>
    <row r="36" spans="1:7" s="11" customFormat="1" ht="15.75" customHeight="1" thickBot="1" x14ac:dyDescent="0.25">
      <c r="A36" s="264" t="str">
        <f>A275</f>
        <v>6. Benefícios e Despesas Indiretas - BDI</v>
      </c>
      <c r="B36" s="127"/>
      <c r="C36" s="118"/>
      <c r="D36" s="118"/>
      <c r="E36" s="232">
        <f>+F280</f>
        <v>5353.7792905177312</v>
      </c>
      <c r="F36" s="119">
        <f t="shared" si="0"/>
        <v>0.20489782937107417</v>
      </c>
      <c r="G36" s="43"/>
    </row>
    <row r="37" spans="1:7" s="4" customFormat="1" ht="15.75" customHeight="1" thickBot="1" x14ac:dyDescent="0.25">
      <c r="A37" s="41" t="s">
        <v>213</v>
      </c>
      <c r="B37" s="42"/>
      <c r="C37" s="26"/>
      <c r="D37" s="26"/>
      <c r="E37" s="106">
        <f>E17+E25+E26+E34+E35+E36</f>
        <v>26129.01906745887</v>
      </c>
      <c r="F37" s="131">
        <f>F17+F25+F26+F34+F35+F36</f>
        <v>0.99999999999999978</v>
      </c>
      <c r="G37" s="6"/>
    </row>
    <row r="39" spans="1:7" ht="13.5" thickBot="1" x14ac:dyDescent="0.25"/>
    <row r="40" spans="1:7" s="4" customFormat="1" ht="15" customHeight="1" thickBot="1" x14ac:dyDescent="0.25">
      <c r="A40" s="309" t="s">
        <v>81</v>
      </c>
      <c r="B40" s="310"/>
      <c r="C40" s="310"/>
      <c r="D40" s="310"/>
      <c r="E40" s="311"/>
      <c r="F40" s="10"/>
      <c r="G40" s="6"/>
    </row>
    <row r="41" spans="1:7" s="4" customFormat="1" ht="15" customHeight="1" thickBot="1" x14ac:dyDescent="0.25">
      <c r="A41" s="314" t="s">
        <v>36</v>
      </c>
      <c r="B41" s="315"/>
      <c r="C41" s="315"/>
      <c r="D41" s="316"/>
      <c r="E41" s="47" t="s">
        <v>37</v>
      </c>
      <c r="F41" s="10"/>
      <c r="G41" s="6"/>
    </row>
    <row r="42" spans="1:7" s="4" customFormat="1" ht="15" customHeight="1" x14ac:dyDescent="0.2">
      <c r="A42" s="70" t="str">
        <f>+A56</f>
        <v>1.1. Reciclador de lixo urbano CBO 5192</v>
      </c>
      <c r="B42" s="71"/>
      <c r="C42" s="71"/>
      <c r="D42" s="72"/>
      <c r="E42" s="73">
        <v>7</v>
      </c>
      <c r="F42" s="10"/>
      <c r="G42" s="6"/>
    </row>
    <row r="43" spans="1:7" s="4" customFormat="1" ht="15" customHeight="1" x14ac:dyDescent="0.2">
      <c r="A43" s="64" t="str">
        <f>+A69</f>
        <v>1.2. Supervisor do Centro de Triagem</v>
      </c>
      <c r="B43" s="63"/>
      <c r="C43" s="63"/>
      <c r="D43" s="74"/>
      <c r="E43" s="67">
        <f>C85</f>
        <v>1</v>
      </c>
      <c r="F43" s="10"/>
      <c r="G43" s="6"/>
    </row>
    <row r="44" spans="1:7" s="4" customFormat="1" ht="15" customHeight="1" x14ac:dyDescent="0.2">
      <c r="A44" s="64" t="str">
        <f>+A88</f>
        <v xml:space="preserve">1.3. Operador de máquinas </v>
      </c>
      <c r="B44" s="63"/>
      <c r="C44" s="63"/>
      <c r="D44" s="74"/>
      <c r="E44" s="67">
        <f>C100</f>
        <v>1</v>
      </c>
      <c r="F44" s="10"/>
      <c r="G44" s="6"/>
    </row>
    <row r="45" spans="1:7" s="4" customFormat="1" ht="15" hidden="1" customHeight="1" x14ac:dyDescent="0.2">
      <c r="A45" s="64" t="str">
        <f>+A102</f>
        <v xml:space="preserve">1.4. Auxiliar de serviços gerais </v>
      </c>
      <c r="B45" s="63"/>
      <c r="C45" s="63"/>
      <c r="D45" s="74"/>
      <c r="E45" s="67">
        <f>C120</f>
        <v>0</v>
      </c>
      <c r="F45" s="10"/>
      <c r="G45" s="6"/>
    </row>
    <row r="46" spans="1:7" s="4" customFormat="1" ht="15" customHeight="1" thickBot="1" x14ac:dyDescent="0.25">
      <c r="A46" s="68" t="s">
        <v>51</v>
      </c>
      <c r="B46" s="69"/>
      <c r="C46" s="69"/>
      <c r="D46" s="75"/>
      <c r="E46" s="76">
        <f>SUM(E42:E45)</f>
        <v>9</v>
      </c>
      <c r="F46" s="10"/>
      <c r="G46" s="6"/>
    </row>
    <row r="47" spans="1:7" s="4" customFormat="1" ht="15" customHeight="1" x14ac:dyDescent="0.2">
      <c r="A47" s="120"/>
      <c r="B47" s="121"/>
      <c r="C47" s="56"/>
      <c r="D47" s="56"/>
      <c r="E47" s="122"/>
      <c r="F47" s="10"/>
      <c r="G47" s="6"/>
    </row>
    <row r="48" spans="1:7" s="4" customFormat="1" ht="15" hidden="1" customHeight="1" x14ac:dyDescent="0.2">
      <c r="A48" s="301" t="s">
        <v>49</v>
      </c>
      <c r="B48" s="302"/>
      <c r="C48" s="302"/>
      <c r="D48" s="302"/>
      <c r="E48" s="47" t="s">
        <v>37</v>
      </c>
      <c r="F48" s="9"/>
      <c r="G48" s="6"/>
    </row>
    <row r="49" spans="1:7" s="4" customFormat="1" ht="15" hidden="1" customHeight="1" thickBot="1" x14ac:dyDescent="0.25">
      <c r="A49" s="123" t="str">
        <f>+A179</f>
        <v xml:space="preserve">3.1. Máquinas e Equipamentos </v>
      </c>
      <c r="B49" s="124"/>
      <c r="C49" s="124"/>
      <c r="D49" s="125"/>
      <c r="E49" s="126">
        <v>1</v>
      </c>
      <c r="F49" s="9"/>
      <c r="G49" s="6"/>
    </row>
    <row r="50" spans="1:7" s="4" customFormat="1" ht="15" hidden="1" customHeight="1" x14ac:dyDescent="0.2">
      <c r="A50" s="56"/>
      <c r="B50" s="56"/>
      <c r="C50" s="56"/>
      <c r="D50" s="9"/>
      <c r="E50" s="223"/>
      <c r="F50" s="9"/>
      <c r="G50" s="6"/>
    </row>
    <row r="51" spans="1:7" s="4" customFormat="1" ht="13.5" thickBot="1" x14ac:dyDescent="0.25">
      <c r="A51" s="56"/>
      <c r="B51" s="56"/>
      <c r="C51" s="56"/>
      <c r="D51" s="9"/>
      <c r="E51" s="65"/>
      <c r="F51" s="9"/>
      <c r="G51" s="6"/>
    </row>
    <row r="52" spans="1:7" s="11" customFormat="1" ht="15.75" customHeight="1" thickBot="1" x14ac:dyDescent="0.25">
      <c r="A52" s="234" t="s">
        <v>173</v>
      </c>
      <c r="B52" s="262">
        <f>'6.Horários'!F18/'6.Horários'!F19</f>
        <v>1</v>
      </c>
      <c r="C52" s="34"/>
      <c r="E52" s="140"/>
      <c r="F52" s="298"/>
      <c r="G52" s="43"/>
    </row>
    <row r="53" spans="1:7" s="4" customFormat="1" ht="15.75" customHeight="1" x14ac:dyDescent="0.2">
      <c r="A53" s="56"/>
      <c r="B53" s="56"/>
      <c r="C53" s="56"/>
      <c r="D53" s="9"/>
      <c r="E53" s="65"/>
      <c r="F53" s="9"/>
      <c r="G53" s="6"/>
    </row>
    <row r="54" spans="1:7" ht="13.15" customHeight="1" x14ac:dyDescent="0.2">
      <c r="A54" s="11" t="s">
        <v>43</v>
      </c>
    </row>
    <row r="55" spans="1:7" ht="11.25" customHeight="1" x14ac:dyDescent="0.2"/>
    <row r="56" spans="1:7" ht="13.9" customHeight="1" thickBot="1" x14ac:dyDescent="0.25">
      <c r="A56" s="7" t="s">
        <v>322</v>
      </c>
    </row>
    <row r="57" spans="1:7" ht="13.9" customHeight="1" thickBot="1" x14ac:dyDescent="0.25">
      <c r="A57" s="57" t="s">
        <v>53</v>
      </c>
      <c r="B57" s="58" t="s">
        <v>54</v>
      </c>
      <c r="C57" s="58" t="s">
        <v>37</v>
      </c>
      <c r="D57" s="59" t="s">
        <v>209</v>
      </c>
      <c r="E57" s="59" t="s">
        <v>55</v>
      </c>
      <c r="F57" s="60" t="s">
        <v>56</v>
      </c>
    </row>
    <row r="58" spans="1:7" ht="13.15" customHeight="1" x14ac:dyDescent="0.2">
      <c r="A58" s="13" t="s">
        <v>189</v>
      </c>
      <c r="B58" s="14" t="s">
        <v>8</v>
      </c>
      <c r="C58" s="14">
        <v>1</v>
      </c>
      <c r="D58" s="261">
        <v>1594.27</v>
      </c>
      <c r="E58" s="15">
        <f>C58*D58</f>
        <v>1594.27</v>
      </c>
    </row>
    <row r="59" spans="1:7" hidden="1" x14ac:dyDescent="0.2">
      <c r="A59" s="16" t="s">
        <v>32</v>
      </c>
      <c r="B59" s="17" t="s">
        <v>0</v>
      </c>
      <c r="C59" s="82"/>
      <c r="D59" s="18">
        <f>D58/220*2</f>
        <v>14.493363636363636</v>
      </c>
      <c r="E59" s="18">
        <f>C59*D59</f>
        <v>0</v>
      </c>
      <c r="G59" s="10" t="s">
        <v>225</v>
      </c>
    </row>
    <row r="60" spans="1:7" ht="13.15" hidden="1" customHeight="1" x14ac:dyDescent="0.2">
      <c r="A60" s="16" t="s">
        <v>33</v>
      </c>
      <c r="B60" s="17" t="s">
        <v>0</v>
      </c>
      <c r="C60" s="82"/>
      <c r="D60" s="18">
        <f>D58/220*1.5</f>
        <v>10.870022727272726</v>
      </c>
      <c r="E60" s="18">
        <f>C60*D60</f>
        <v>0</v>
      </c>
      <c r="G60" s="10" t="s">
        <v>227</v>
      </c>
    </row>
    <row r="61" spans="1:7" ht="13.15" hidden="1" customHeight="1" x14ac:dyDescent="0.2">
      <c r="A61" s="16" t="s">
        <v>193</v>
      </c>
      <c r="B61" s="17" t="s">
        <v>31</v>
      </c>
      <c r="D61" s="18">
        <f>63/302*(SUM(E59:E60))</f>
        <v>0</v>
      </c>
      <c r="E61" s="18">
        <f>D61</f>
        <v>0</v>
      </c>
      <c r="G61" s="10" t="s">
        <v>192</v>
      </c>
    </row>
    <row r="62" spans="1:7" x14ac:dyDescent="0.2">
      <c r="A62" s="16" t="s">
        <v>1</v>
      </c>
      <c r="B62" s="17" t="s">
        <v>2</v>
      </c>
      <c r="C62" s="17">
        <v>40</v>
      </c>
      <c r="D62" s="77">
        <f>SUM(E58:E61)</f>
        <v>1594.27</v>
      </c>
      <c r="E62" s="18">
        <f>C62*D62/100</f>
        <v>637.70800000000008</v>
      </c>
    </row>
    <row r="63" spans="1:7" x14ac:dyDescent="0.2">
      <c r="A63" s="108" t="s">
        <v>3</v>
      </c>
      <c r="B63" s="109"/>
      <c r="C63" s="109"/>
      <c r="D63" s="110"/>
      <c r="E63" s="111">
        <f>SUM(E58:E62)</f>
        <v>2231.9780000000001</v>
      </c>
    </row>
    <row r="64" spans="1:7" x14ac:dyDescent="0.2">
      <c r="A64" s="16" t="s">
        <v>4</v>
      </c>
      <c r="B64" s="17" t="s">
        <v>2</v>
      </c>
      <c r="C64" s="129">
        <f>'3.Encargos Sociais'!$C$38*100</f>
        <v>71.60166000000001</v>
      </c>
      <c r="D64" s="18">
        <f>E63</f>
        <v>2231.9780000000001</v>
      </c>
      <c r="E64" s="18">
        <f>D64*C64/100</f>
        <v>1598.1332988348004</v>
      </c>
    </row>
    <row r="65" spans="1:7" x14ac:dyDescent="0.2">
      <c r="A65" s="108" t="s">
        <v>282</v>
      </c>
      <c r="B65" s="109"/>
      <c r="C65" s="109"/>
      <c r="D65" s="110"/>
      <c r="E65" s="111">
        <f>E63+E64</f>
        <v>3830.1112988348004</v>
      </c>
    </row>
    <row r="66" spans="1:7" ht="13.5" thickBot="1" x14ac:dyDescent="0.25">
      <c r="A66" s="16" t="s">
        <v>5</v>
      </c>
      <c r="B66" s="17" t="s">
        <v>6</v>
      </c>
      <c r="C66" s="84">
        <f>E42</f>
        <v>7</v>
      </c>
      <c r="D66" s="18">
        <f>E65</f>
        <v>3830.1112988348004</v>
      </c>
      <c r="E66" s="18">
        <f>C66*D66</f>
        <v>26810.779091843604</v>
      </c>
      <c r="G66" s="6"/>
    </row>
    <row r="67" spans="1:7" ht="13.9" customHeight="1" thickBot="1" x14ac:dyDescent="0.25">
      <c r="A67" s="7"/>
      <c r="D67" s="114" t="s">
        <v>172</v>
      </c>
      <c r="E67" s="263">
        <f>$B$52</f>
        <v>1</v>
      </c>
      <c r="F67" s="115">
        <f>E66*E67</f>
        <v>26810.779091843604</v>
      </c>
      <c r="G67" s="6"/>
    </row>
    <row r="68" spans="1:7" ht="11.25" customHeight="1" x14ac:dyDescent="0.2"/>
    <row r="69" spans="1:7" ht="13.5" thickBot="1" x14ac:dyDescent="0.25">
      <c r="A69" s="7" t="s">
        <v>281</v>
      </c>
    </row>
    <row r="70" spans="1:7" ht="13.5" thickBot="1" x14ac:dyDescent="0.25">
      <c r="A70" s="57" t="s">
        <v>53</v>
      </c>
      <c r="B70" s="58" t="s">
        <v>54</v>
      </c>
      <c r="C70" s="58" t="s">
        <v>37</v>
      </c>
      <c r="D70" s="59" t="s">
        <v>209</v>
      </c>
      <c r="E70" s="59" t="s">
        <v>55</v>
      </c>
      <c r="F70" s="60" t="s">
        <v>56</v>
      </c>
    </row>
    <row r="71" spans="1:7" x14ac:dyDescent="0.2">
      <c r="A71" s="13" t="s">
        <v>189</v>
      </c>
      <c r="B71" s="14" t="s">
        <v>8</v>
      </c>
      <c r="C71" s="14">
        <v>1</v>
      </c>
      <c r="D71" s="81">
        <v>2300</v>
      </c>
      <c r="E71" s="15">
        <f>C71*D71</f>
        <v>2300</v>
      </c>
    </row>
    <row r="72" spans="1:7" hidden="1" x14ac:dyDescent="0.2">
      <c r="A72" s="16" t="s">
        <v>7</v>
      </c>
      <c r="B72" s="17" t="s">
        <v>82</v>
      </c>
      <c r="C72" s="82"/>
      <c r="D72" s="18"/>
      <c r="E72" s="18"/>
    </row>
    <row r="73" spans="1:7" hidden="1" x14ac:dyDescent="0.2">
      <c r="A73" s="16"/>
      <c r="B73" s="17" t="s">
        <v>84</v>
      </c>
      <c r="C73" s="112">
        <f>C72*8/7</f>
        <v>0</v>
      </c>
      <c r="D73" s="18">
        <f>D71/220*0.2</f>
        <v>2.0909090909090913</v>
      </c>
      <c r="E73" s="18">
        <f>C72*D73</f>
        <v>0</v>
      </c>
    </row>
    <row r="74" spans="1:7" hidden="1" x14ac:dyDescent="0.2">
      <c r="A74" s="16" t="s">
        <v>32</v>
      </c>
      <c r="B74" s="17" t="s">
        <v>0</v>
      </c>
      <c r="C74" s="82"/>
      <c r="D74" s="18">
        <f>D71/220*2</f>
        <v>20.90909090909091</v>
      </c>
      <c r="E74" s="18">
        <f>C74*D74</f>
        <v>0</v>
      </c>
      <c r="G74" s="10" t="s">
        <v>225</v>
      </c>
    </row>
    <row r="75" spans="1:7" hidden="1" x14ac:dyDescent="0.2">
      <c r="A75" s="16" t="s">
        <v>83</v>
      </c>
      <c r="B75" s="17" t="s">
        <v>82</v>
      </c>
      <c r="C75" s="82"/>
      <c r="D75" s="18"/>
      <c r="E75" s="18"/>
      <c r="G75" s="10" t="s">
        <v>226</v>
      </c>
    </row>
    <row r="76" spans="1:7" hidden="1" x14ac:dyDescent="0.2">
      <c r="A76" s="16"/>
      <c r="B76" s="17" t="s">
        <v>84</v>
      </c>
      <c r="C76" s="112">
        <f>C75*8/7</f>
        <v>0</v>
      </c>
      <c r="D76" s="18">
        <f>D71/220*2*1.2</f>
        <v>25.09090909090909</v>
      </c>
      <c r="E76" s="18">
        <f>C76*D76</f>
        <v>0</v>
      </c>
      <c r="G76" s="10" t="s">
        <v>226</v>
      </c>
    </row>
    <row r="77" spans="1:7" hidden="1" x14ac:dyDescent="0.2">
      <c r="A77" s="16" t="s">
        <v>33</v>
      </c>
      <c r="B77" s="17" t="s">
        <v>0</v>
      </c>
      <c r="C77" s="82"/>
      <c r="D77" s="18">
        <f>D71/220*1.5</f>
        <v>15.681818181818183</v>
      </c>
      <c r="E77" s="18">
        <f>C77*D77</f>
        <v>0</v>
      </c>
      <c r="G77" s="10" t="s">
        <v>227</v>
      </c>
    </row>
    <row r="78" spans="1:7" hidden="1" x14ac:dyDescent="0.2">
      <c r="A78" s="16" t="s">
        <v>191</v>
      </c>
      <c r="B78" s="17" t="s">
        <v>82</v>
      </c>
      <c r="C78" s="82"/>
      <c r="D78" s="18"/>
      <c r="E78" s="18"/>
      <c r="G78" s="10" t="s">
        <v>228</v>
      </c>
    </row>
    <row r="79" spans="1:7" hidden="1" x14ac:dyDescent="0.2">
      <c r="A79" s="16"/>
      <c r="B79" s="17" t="s">
        <v>84</v>
      </c>
      <c r="C79" s="18">
        <f>C78*8/7</f>
        <v>0</v>
      </c>
      <c r="D79" s="18">
        <f>D71/220*1.5*1.2</f>
        <v>18.81818181818182</v>
      </c>
      <c r="E79" s="18">
        <f>C79*D79</f>
        <v>0</v>
      </c>
      <c r="G79" s="10" t="s">
        <v>228</v>
      </c>
    </row>
    <row r="80" spans="1:7" ht="13.15" hidden="1" customHeight="1" x14ac:dyDescent="0.2">
      <c r="A80" s="16" t="s">
        <v>193</v>
      </c>
      <c r="B80" s="17" t="s">
        <v>31</v>
      </c>
      <c r="D80" s="18">
        <f>63/302*(SUM(E74:E79))</f>
        <v>0</v>
      </c>
      <c r="E80" s="18">
        <f>D80</f>
        <v>0</v>
      </c>
      <c r="G80" s="10" t="s">
        <v>192</v>
      </c>
    </row>
    <row r="81" spans="1:7" x14ac:dyDescent="0.2">
      <c r="A81" s="16" t="s">
        <v>1</v>
      </c>
      <c r="B81" s="17" t="s">
        <v>2</v>
      </c>
      <c r="C81" s="17">
        <f>+C62</f>
        <v>40</v>
      </c>
      <c r="D81" s="83">
        <v>1320</v>
      </c>
      <c r="E81" s="18">
        <f>C81*D81/100</f>
        <v>528</v>
      </c>
    </row>
    <row r="82" spans="1:7" x14ac:dyDescent="0.2">
      <c r="A82" s="108" t="s">
        <v>3</v>
      </c>
      <c r="B82" s="109"/>
      <c r="C82" s="109"/>
      <c r="D82" s="110"/>
      <c r="E82" s="111">
        <f>SUM(E71:E81)</f>
        <v>2828</v>
      </c>
    </row>
    <row r="83" spans="1:7" x14ac:dyDescent="0.2">
      <c r="A83" s="16" t="s">
        <v>4</v>
      </c>
      <c r="B83" s="17" t="s">
        <v>2</v>
      </c>
      <c r="C83" s="129">
        <f>'3.Encargos Sociais'!$C$38*100</f>
        <v>71.60166000000001</v>
      </c>
      <c r="D83" s="18">
        <f>E82</f>
        <v>2828</v>
      </c>
      <c r="E83" s="18">
        <f>D83*C83/100</f>
        <v>2024.8949448000003</v>
      </c>
    </row>
    <row r="84" spans="1:7" x14ac:dyDescent="0.2">
      <c r="A84" s="108" t="s">
        <v>296</v>
      </c>
      <c r="B84" s="109"/>
      <c r="C84" s="109"/>
      <c r="D84" s="110"/>
      <c r="E84" s="111">
        <f>E82+E83</f>
        <v>4852.8949448000003</v>
      </c>
    </row>
    <row r="85" spans="1:7" ht="13.5" thickBot="1" x14ac:dyDescent="0.25">
      <c r="A85" s="16" t="s">
        <v>5</v>
      </c>
      <c r="B85" s="17" t="s">
        <v>6</v>
      </c>
      <c r="C85" s="80">
        <v>1</v>
      </c>
      <c r="D85" s="18">
        <f>E84</f>
        <v>4852.8949448000003</v>
      </c>
      <c r="E85" s="18">
        <f>C85*D85</f>
        <v>4852.8949448000003</v>
      </c>
    </row>
    <row r="86" spans="1:7" ht="13.5" thickBot="1" x14ac:dyDescent="0.25">
      <c r="D86" s="114" t="s">
        <v>172</v>
      </c>
      <c r="E86" s="49">
        <f>$B$52</f>
        <v>1</v>
      </c>
      <c r="F86" s="115">
        <f>E85*E86</f>
        <v>4852.8949448000003</v>
      </c>
    </row>
    <row r="87" spans="1:7" ht="11.25" customHeight="1" x14ac:dyDescent="0.2"/>
    <row r="88" spans="1:7" ht="13.5" thickBot="1" x14ac:dyDescent="0.25">
      <c r="A88" s="7" t="s">
        <v>283</v>
      </c>
    </row>
    <row r="89" spans="1:7" s="12" customFormat="1" ht="13.15" customHeight="1" thickBot="1" x14ac:dyDescent="0.25">
      <c r="A89" s="57" t="s">
        <v>53</v>
      </c>
      <c r="B89" s="58" t="s">
        <v>54</v>
      </c>
      <c r="C89" s="58" t="s">
        <v>37</v>
      </c>
      <c r="D89" s="59" t="s">
        <v>209</v>
      </c>
      <c r="E89" s="59" t="s">
        <v>55</v>
      </c>
      <c r="F89" s="60" t="s">
        <v>56</v>
      </c>
      <c r="G89" s="10"/>
    </row>
    <row r="90" spans="1:7" x14ac:dyDescent="0.2">
      <c r="A90" s="255" t="s">
        <v>243</v>
      </c>
      <c r="B90" s="14" t="s">
        <v>8</v>
      </c>
      <c r="C90" s="14">
        <v>1</v>
      </c>
      <c r="D90" s="261">
        <v>2209.46</v>
      </c>
      <c r="E90" s="15">
        <f>C90*D90</f>
        <v>2209.46</v>
      </c>
    </row>
    <row r="91" spans="1:7" x14ac:dyDescent="0.2">
      <c r="A91" s="255" t="s">
        <v>244</v>
      </c>
      <c r="B91" s="14" t="s">
        <v>8</v>
      </c>
      <c r="C91" s="14">
        <v>1</v>
      </c>
      <c r="D91" s="81">
        <v>1320</v>
      </c>
      <c r="E91" s="15"/>
    </row>
    <row r="92" spans="1:7" hidden="1" x14ac:dyDescent="0.2">
      <c r="A92" s="16" t="s">
        <v>32</v>
      </c>
      <c r="B92" s="17" t="s">
        <v>0</v>
      </c>
      <c r="C92" s="82"/>
      <c r="D92" s="18">
        <f>D90/220*2</f>
        <v>20.086000000000002</v>
      </c>
      <c r="E92" s="18">
        <f>C92*D92</f>
        <v>0</v>
      </c>
      <c r="G92" s="10" t="s">
        <v>225</v>
      </c>
    </row>
    <row r="93" spans="1:7" hidden="1" x14ac:dyDescent="0.2">
      <c r="A93" s="16" t="s">
        <v>33</v>
      </c>
      <c r="B93" s="17" t="s">
        <v>0</v>
      </c>
      <c r="C93" s="82"/>
      <c r="D93" s="18">
        <f>D90/220*1.5</f>
        <v>15.064500000000002</v>
      </c>
      <c r="E93" s="18">
        <f>C93*D93</f>
        <v>0</v>
      </c>
      <c r="G93" s="10" t="s">
        <v>227</v>
      </c>
    </row>
    <row r="94" spans="1:7" ht="13.15" hidden="1" customHeight="1" x14ac:dyDescent="0.2">
      <c r="A94" s="16" t="s">
        <v>193</v>
      </c>
      <c r="B94" s="17" t="s">
        <v>31</v>
      </c>
      <c r="D94" s="18">
        <f>63/302*(SUM(E92:E93))</f>
        <v>0</v>
      </c>
      <c r="E94" s="18">
        <f>D94</f>
        <v>0</v>
      </c>
      <c r="G94" s="10" t="s">
        <v>192</v>
      </c>
    </row>
    <row r="95" spans="1:7" hidden="1" x14ac:dyDescent="0.2">
      <c r="A95" s="16" t="s">
        <v>190</v>
      </c>
      <c r="B95" s="17"/>
      <c r="C95" s="84">
        <v>1</v>
      </c>
      <c r="D95" s="18"/>
      <c r="E95" s="18"/>
    </row>
    <row r="96" spans="1:7" x14ac:dyDescent="0.2">
      <c r="A96" s="16" t="s">
        <v>1</v>
      </c>
      <c r="B96" s="17" t="s">
        <v>2</v>
      </c>
      <c r="C96" s="80">
        <v>40</v>
      </c>
      <c r="D96" s="77">
        <f>IF(C95=2,SUM(E90:E94),IF(C95=1,(SUM(E90:E94))*D91/D90,0))</f>
        <v>1320</v>
      </c>
      <c r="E96" s="18">
        <f>C96*D96/100</f>
        <v>528</v>
      </c>
    </row>
    <row r="97" spans="1:7" s="11" customFormat="1" x14ac:dyDescent="0.2">
      <c r="A97" s="95" t="s">
        <v>3</v>
      </c>
      <c r="B97" s="109"/>
      <c r="C97" s="109"/>
      <c r="D97" s="110"/>
      <c r="E97" s="97">
        <f>SUM(E90:E96)</f>
        <v>2737.46</v>
      </c>
      <c r="F97" s="43"/>
      <c r="G97" s="43"/>
    </row>
    <row r="98" spans="1:7" x14ac:dyDescent="0.2">
      <c r="A98" s="16" t="s">
        <v>4</v>
      </c>
      <c r="B98" s="17" t="s">
        <v>2</v>
      </c>
      <c r="C98" s="129">
        <f>'3.Encargos Sociais'!$C$38*100</f>
        <v>71.60166000000001</v>
      </c>
      <c r="D98" s="18">
        <f>E97</f>
        <v>2737.46</v>
      </c>
      <c r="E98" s="18">
        <f>D98*C98/100</f>
        <v>1960.0668018360002</v>
      </c>
    </row>
    <row r="99" spans="1:7" s="11" customFormat="1" x14ac:dyDescent="0.2">
      <c r="A99" s="95" t="s">
        <v>284</v>
      </c>
      <c r="B99" s="238"/>
      <c r="C99" s="238"/>
      <c r="D99" s="239"/>
      <c r="E99" s="97">
        <f>E97+E98</f>
        <v>4697.5268018360002</v>
      </c>
      <c r="F99" s="43"/>
      <c r="G99" s="43"/>
    </row>
    <row r="100" spans="1:7" ht="13.5" thickBot="1" x14ac:dyDescent="0.25">
      <c r="A100" s="16" t="s">
        <v>5</v>
      </c>
      <c r="B100" s="17" t="s">
        <v>6</v>
      </c>
      <c r="C100" s="80">
        <v>1</v>
      </c>
      <c r="D100" s="18">
        <f>E99</f>
        <v>4697.5268018360002</v>
      </c>
      <c r="E100" s="18">
        <f>C100*D100</f>
        <v>4697.5268018360002</v>
      </c>
    </row>
    <row r="101" spans="1:7" ht="13.5" thickBot="1" x14ac:dyDescent="0.25">
      <c r="A101" s="7"/>
      <c r="D101" s="114" t="s">
        <v>172</v>
      </c>
      <c r="E101" s="263">
        <f>$B$52</f>
        <v>1</v>
      </c>
      <c r="F101" s="115">
        <f>E100*E101</f>
        <v>4697.5268018360002</v>
      </c>
    </row>
    <row r="102" spans="1:7" ht="13.5" hidden="1" thickBot="1" x14ac:dyDescent="0.25">
      <c r="A102" s="7" t="s">
        <v>285</v>
      </c>
    </row>
    <row r="103" spans="1:7" ht="13.5" hidden="1" thickBot="1" x14ac:dyDescent="0.25">
      <c r="A103" s="57" t="s">
        <v>53</v>
      </c>
      <c r="B103" s="58" t="s">
        <v>54</v>
      </c>
      <c r="C103" s="58" t="s">
        <v>37</v>
      </c>
      <c r="D103" s="59" t="s">
        <v>209</v>
      </c>
      <c r="E103" s="59" t="s">
        <v>55</v>
      </c>
      <c r="F103" s="60" t="s">
        <v>56</v>
      </c>
    </row>
    <row r="104" spans="1:7" hidden="1" x14ac:dyDescent="0.2">
      <c r="A104" s="255" t="s">
        <v>243</v>
      </c>
      <c r="B104" s="14" t="s">
        <v>8</v>
      </c>
      <c r="C104" s="14">
        <v>1</v>
      </c>
      <c r="D104" s="15">
        <v>1319.7</v>
      </c>
      <c r="E104" s="15">
        <f>C104*D104</f>
        <v>1319.7</v>
      </c>
    </row>
    <row r="105" spans="1:7" hidden="1" x14ac:dyDescent="0.2">
      <c r="A105" s="255" t="s">
        <v>244</v>
      </c>
      <c r="B105" s="14" t="s">
        <v>8</v>
      </c>
      <c r="C105" s="14">
        <v>1</v>
      </c>
      <c r="D105" s="18">
        <f>D91</f>
        <v>1320</v>
      </c>
      <c r="E105" s="18"/>
    </row>
    <row r="106" spans="1:7" hidden="1" x14ac:dyDescent="0.2">
      <c r="A106" s="16" t="s">
        <v>7</v>
      </c>
      <c r="B106" s="17" t="s">
        <v>82</v>
      </c>
      <c r="C106" s="82"/>
      <c r="D106" s="16"/>
      <c r="E106" s="16"/>
    </row>
    <row r="107" spans="1:7" hidden="1" x14ac:dyDescent="0.2">
      <c r="A107" s="16"/>
      <c r="B107" s="17" t="s">
        <v>84</v>
      </c>
      <c r="C107" s="18">
        <f>C106*8/7</f>
        <v>0</v>
      </c>
      <c r="D107" s="18">
        <f>D104/220*0.2</f>
        <v>1.199727272727273</v>
      </c>
      <c r="E107" s="18">
        <f>C106*D107</f>
        <v>0</v>
      </c>
    </row>
    <row r="108" spans="1:7" hidden="1" x14ac:dyDescent="0.2">
      <c r="A108" s="16" t="s">
        <v>32</v>
      </c>
      <c r="B108" s="17" t="s">
        <v>0</v>
      </c>
      <c r="C108" s="82"/>
      <c r="D108" s="18">
        <f>D104/220*2</f>
        <v>11.997272727272728</v>
      </c>
      <c r="E108" s="18">
        <f>C108*D108</f>
        <v>0</v>
      </c>
      <c r="G108" s="10" t="s">
        <v>225</v>
      </c>
    </row>
    <row r="109" spans="1:7" hidden="1" x14ac:dyDescent="0.2">
      <c r="A109" s="16" t="s">
        <v>83</v>
      </c>
      <c r="B109" s="17" t="s">
        <v>82</v>
      </c>
      <c r="C109" s="82"/>
      <c r="D109" s="18"/>
      <c r="E109" s="18"/>
      <c r="G109" s="10" t="s">
        <v>226</v>
      </c>
    </row>
    <row r="110" spans="1:7" hidden="1" x14ac:dyDescent="0.2">
      <c r="A110" s="16"/>
      <c r="B110" s="17" t="s">
        <v>84</v>
      </c>
      <c r="C110" s="18">
        <f>C109*8/7</f>
        <v>0</v>
      </c>
      <c r="D110" s="18">
        <f>D104/220*2*1.2</f>
        <v>14.396727272727272</v>
      </c>
      <c r="E110" s="18">
        <f>C110*D110</f>
        <v>0</v>
      </c>
      <c r="G110" s="10" t="s">
        <v>226</v>
      </c>
    </row>
    <row r="111" spans="1:7" hidden="1" x14ac:dyDescent="0.2">
      <c r="A111" s="16" t="s">
        <v>33</v>
      </c>
      <c r="B111" s="17" t="s">
        <v>0</v>
      </c>
      <c r="C111" s="82"/>
      <c r="D111" s="18">
        <f>D104/220*1.5</f>
        <v>8.9979545454545455</v>
      </c>
      <c r="E111" s="18">
        <f>C111*D111</f>
        <v>0</v>
      </c>
      <c r="G111" s="10" t="s">
        <v>227</v>
      </c>
    </row>
    <row r="112" spans="1:7" hidden="1" x14ac:dyDescent="0.2">
      <c r="A112" s="16" t="s">
        <v>191</v>
      </c>
      <c r="B112" s="17" t="s">
        <v>82</v>
      </c>
      <c r="C112" s="82"/>
      <c r="D112" s="18"/>
      <c r="E112" s="18"/>
      <c r="G112" s="10" t="s">
        <v>228</v>
      </c>
    </row>
    <row r="113" spans="1:7" hidden="1" x14ac:dyDescent="0.2">
      <c r="A113" s="16"/>
      <c r="B113" s="17" t="s">
        <v>84</v>
      </c>
      <c r="C113" s="18">
        <f>C112*8/7</f>
        <v>0</v>
      </c>
      <c r="D113" s="18">
        <f>D104/220*1.5*1.2</f>
        <v>10.797545454545455</v>
      </c>
      <c r="E113" s="18">
        <f>C113*D113</f>
        <v>0</v>
      </c>
      <c r="G113" s="10" t="s">
        <v>228</v>
      </c>
    </row>
    <row r="114" spans="1:7" ht="13.15" hidden="1" customHeight="1" x14ac:dyDescent="0.2">
      <c r="A114" s="16" t="s">
        <v>193</v>
      </c>
      <c r="B114" s="17" t="s">
        <v>31</v>
      </c>
      <c r="D114" s="18">
        <f>63/302*(SUM(E108:E113))</f>
        <v>0</v>
      </c>
      <c r="E114" s="18">
        <f>D114</f>
        <v>0</v>
      </c>
      <c r="G114" s="10" t="s">
        <v>192</v>
      </c>
    </row>
    <row r="115" spans="1:7" hidden="1" x14ac:dyDescent="0.2">
      <c r="A115" s="16" t="s">
        <v>190</v>
      </c>
      <c r="B115" s="17"/>
      <c r="C115" s="84">
        <v>1</v>
      </c>
      <c r="D115" s="18"/>
      <c r="E115" s="18"/>
    </row>
    <row r="116" spans="1:7" hidden="1" x14ac:dyDescent="0.2">
      <c r="A116" s="16" t="s">
        <v>1</v>
      </c>
      <c r="B116" s="17" t="s">
        <v>2</v>
      </c>
      <c r="C116" s="83">
        <f>+C96</f>
        <v>40</v>
      </c>
      <c r="D116" s="77">
        <f>IF(C115=2,SUM(E104:E114),IF(C115=1,SUM(E104:E114)*D105/D104,0))</f>
        <v>1320</v>
      </c>
      <c r="E116" s="18">
        <f>C116*D116/100</f>
        <v>528</v>
      </c>
    </row>
    <row r="117" spans="1:7" s="11" customFormat="1" hidden="1" x14ac:dyDescent="0.2">
      <c r="A117" s="108" t="s">
        <v>3</v>
      </c>
      <c r="B117" s="109"/>
      <c r="C117" s="109"/>
      <c r="D117" s="110"/>
      <c r="E117" s="111">
        <f>SUM(E104:E116)</f>
        <v>1847.7</v>
      </c>
      <c r="F117" s="43"/>
      <c r="G117" s="43"/>
    </row>
    <row r="118" spans="1:7" hidden="1" x14ac:dyDescent="0.2">
      <c r="A118" s="16" t="s">
        <v>4</v>
      </c>
      <c r="B118" s="17" t="s">
        <v>2</v>
      </c>
      <c r="C118" s="129">
        <f>'3.Encargos Sociais'!$C$38*100</f>
        <v>71.60166000000001</v>
      </c>
      <c r="D118" s="18">
        <f>E117</f>
        <v>1847.7</v>
      </c>
      <c r="E118" s="18">
        <f>D118*C118/100</f>
        <v>1322.9838718200003</v>
      </c>
    </row>
    <row r="119" spans="1:7" s="11" customFormat="1" hidden="1" x14ac:dyDescent="0.2">
      <c r="A119" s="108" t="s">
        <v>295</v>
      </c>
      <c r="B119" s="109"/>
      <c r="C119" s="109"/>
      <c r="D119" s="110"/>
      <c r="E119" s="111">
        <f>E117+E118</f>
        <v>3170.6838718200006</v>
      </c>
      <c r="F119" s="43"/>
      <c r="G119" s="43"/>
    </row>
    <row r="120" spans="1:7" ht="13.5" hidden="1" thickBot="1" x14ac:dyDescent="0.25">
      <c r="A120" s="16" t="s">
        <v>5</v>
      </c>
      <c r="B120" s="17" t="s">
        <v>6</v>
      </c>
      <c r="C120" s="80">
        <v>0</v>
      </c>
      <c r="D120" s="18">
        <f>E119</f>
        <v>3170.6838718200006</v>
      </c>
      <c r="E120" s="18">
        <f>C120*D120</f>
        <v>0</v>
      </c>
    </row>
    <row r="121" spans="1:7" ht="13.5" hidden="1" thickBot="1" x14ac:dyDescent="0.25">
      <c r="A121" s="7"/>
      <c r="D121" s="114" t="s">
        <v>172</v>
      </c>
      <c r="E121" s="49">
        <f>$B$52</f>
        <v>1</v>
      </c>
      <c r="F121" s="115">
        <f>E120*E121</f>
        <v>0</v>
      </c>
    </row>
    <row r="122" spans="1:7" ht="11.25" customHeight="1" x14ac:dyDescent="0.2">
      <c r="G122" s="9"/>
    </row>
    <row r="123" spans="1:7" ht="13.5" thickBot="1" x14ac:dyDescent="0.25">
      <c r="A123" s="7" t="s">
        <v>324</v>
      </c>
      <c r="B123" s="87"/>
      <c r="D123" s="9"/>
      <c r="E123" s="9"/>
      <c r="G123" s="9"/>
    </row>
    <row r="124" spans="1:7" ht="13.5" thickBot="1" x14ac:dyDescent="0.25">
      <c r="A124" s="57" t="s">
        <v>53</v>
      </c>
      <c r="B124" s="58" t="s">
        <v>54</v>
      </c>
      <c r="C124" s="58" t="s">
        <v>37</v>
      </c>
      <c r="D124" s="59" t="s">
        <v>209</v>
      </c>
      <c r="E124" s="59" t="s">
        <v>55</v>
      </c>
      <c r="F124" s="60" t="s">
        <v>56</v>
      </c>
      <c r="G124" s="9"/>
    </row>
    <row r="125" spans="1:7" x14ac:dyDescent="0.2">
      <c r="A125" s="16" t="s">
        <v>76</v>
      </c>
      <c r="B125" s="17" t="s">
        <v>31</v>
      </c>
      <c r="C125" s="88">
        <v>1</v>
      </c>
      <c r="D125" s="86">
        <v>4.0999999999999996</v>
      </c>
      <c r="E125" s="18"/>
      <c r="G125" s="9"/>
    </row>
    <row r="126" spans="1:7" x14ac:dyDescent="0.2">
      <c r="A126" s="16" t="s">
        <v>77</v>
      </c>
      <c r="B126" s="17" t="s">
        <v>78</v>
      </c>
      <c r="C126" s="85">
        <v>21</v>
      </c>
      <c r="D126" s="18"/>
      <c r="E126" s="18"/>
      <c r="G126" s="9"/>
    </row>
    <row r="127" spans="1:7" ht="13.5" thickBot="1" x14ac:dyDescent="0.25">
      <c r="A127" s="279" t="s">
        <v>297</v>
      </c>
      <c r="B127" s="17" t="s">
        <v>9</v>
      </c>
      <c r="C127" s="36">
        <f>$C$126*2*(C66)</f>
        <v>294</v>
      </c>
      <c r="D127" s="15">
        <f>IFERROR((($C$126*2*$D$125)-(E58*0.06*C126/21))/($C$126*2),"-")</f>
        <v>1.8224714285714283</v>
      </c>
      <c r="E127" s="18">
        <f>IFERROR(C127*D127,"-")</f>
        <v>535.80659999999989</v>
      </c>
      <c r="G127" s="9"/>
    </row>
    <row r="128" spans="1:7" hidden="1" x14ac:dyDescent="0.2">
      <c r="A128" s="255" t="s">
        <v>298</v>
      </c>
      <c r="B128" s="17" t="s">
        <v>9</v>
      </c>
      <c r="C128" s="36">
        <f>C85*C126*2</f>
        <v>42</v>
      </c>
      <c r="D128" s="15">
        <f>D130</f>
        <v>1.5506230769230764</v>
      </c>
      <c r="E128" s="18">
        <f>IFERROR(C128*D128,"-")</f>
        <v>65.126169230769207</v>
      </c>
      <c r="G128" s="9"/>
    </row>
    <row r="129" spans="1:7" hidden="1" x14ac:dyDescent="0.2">
      <c r="A129" s="255" t="s">
        <v>300</v>
      </c>
      <c r="B129" s="17" t="s">
        <v>9</v>
      </c>
      <c r="C129" s="36">
        <f>C120*2*C126</f>
        <v>0</v>
      </c>
      <c r="D129" s="15">
        <f>(D125*C126*2-(E104*0.06))/42</f>
        <v>2.2147142857142854</v>
      </c>
      <c r="E129" s="18">
        <f>IFERROR(C129*D129,"-")</f>
        <v>0</v>
      </c>
      <c r="G129" s="9"/>
    </row>
    <row r="130" spans="1:7" ht="13.5" hidden="1" thickBot="1" x14ac:dyDescent="0.25">
      <c r="A130" s="255" t="s">
        <v>299</v>
      </c>
      <c r="B130" s="14" t="s">
        <v>9</v>
      </c>
      <c r="C130" s="36">
        <f>$C$126*2*(C100)</f>
        <v>42</v>
      </c>
      <c r="D130" s="15">
        <f>IFERROR((($C$126*2*$D$125)-(E90*0.06*C126/26))/($C$126*2),"-")</f>
        <v>1.5506230769230764</v>
      </c>
      <c r="E130" s="15">
        <f>IFERROR(C130*D130,"-")</f>
        <v>65.126169230769207</v>
      </c>
      <c r="G130" s="9"/>
    </row>
    <row r="131" spans="1:7" ht="13.5" thickBot="1" x14ac:dyDescent="0.25">
      <c r="A131" s="7" t="s">
        <v>293</v>
      </c>
      <c r="F131" s="22">
        <f>SUM(E127:E130)</f>
        <v>666.05893846153822</v>
      </c>
      <c r="G131" s="9"/>
    </row>
    <row r="132" spans="1:7" ht="11.25" customHeight="1" x14ac:dyDescent="0.2">
      <c r="A132" s="7" t="s">
        <v>294</v>
      </c>
      <c r="G132" s="9"/>
    </row>
    <row r="133" spans="1:7" ht="11.25" customHeight="1" x14ac:dyDescent="0.2">
      <c r="A133" s="7"/>
      <c r="G133" s="9"/>
    </row>
    <row r="134" spans="1:7" ht="13.5" thickBot="1" x14ac:dyDescent="0.25">
      <c r="A134" s="7" t="s">
        <v>325</v>
      </c>
      <c r="F134" s="23"/>
      <c r="G134" s="9"/>
    </row>
    <row r="135" spans="1:7" ht="13.5" thickBot="1" x14ac:dyDescent="0.25">
      <c r="A135" s="57" t="s">
        <v>53</v>
      </c>
      <c r="B135" s="58" t="s">
        <v>54</v>
      </c>
      <c r="C135" s="58" t="s">
        <v>37</v>
      </c>
      <c r="D135" s="59" t="s">
        <v>209</v>
      </c>
      <c r="E135" s="59" t="s">
        <v>55</v>
      </c>
      <c r="F135" s="60" t="s">
        <v>56</v>
      </c>
      <c r="G135" s="9"/>
    </row>
    <row r="136" spans="1:7" ht="13.5" thickBot="1" x14ac:dyDescent="0.25">
      <c r="A136" s="279" t="s">
        <v>333</v>
      </c>
      <c r="B136" s="17" t="s">
        <v>10</v>
      </c>
      <c r="C136" s="94">
        <f>C126*(E42+E43+E44+E45)</f>
        <v>189</v>
      </c>
      <c r="D136" s="83">
        <f>22*0.81</f>
        <v>17.82</v>
      </c>
      <c r="E136" s="49">
        <f>C136*D136</f>
        <v>3367.98</v>
      </c>
      <c r="F136" s="23"/>
      <c r="G136" s="9"/>
    </row>
    <row r="137" spans="1:7" ht="13.5" hidden="1" thickBot="1" x14ac:dyDescent="0.25">
      <c r="A137" s="16" t="str">
        <f>+A130</f>
        <v xml:space="preserve">Operador </v>
      </c>
      <c r="B137" s="17" t="s">
        <v>10</v>
      </c>
      <c r="C137" s="94">
        <v>0</v>
      </c>
      <c r="D137" s="83">
        <v>8.91</v>
      </c>
      <c r="E137" s="49">
        <f>C137*D137</f>
        <v>0</v>
      </c>
      <c r="F137" s="23"/>
      <c r="G137" s="9"/>
    </row>
    <row r="138" spans="1:7" ht="13.5" thickBot="1" x14ac:dyDescent="0.25">
      <c r="F138" s="22">
        <f>SUM(E136:E137)</f>
        <v>3367.98</v>
      </c>
      <c r="G138" s="9"/>
    </row>
    <row r="139" spans="1:7" ht="13.5" thickBot="1" x14ac:dyDescent="0.25">
      <c r="G139" s="9"/>
    </row>
    <row r="140" spans="1:7" ht="13.5" hidden="1" thickBot="1" x14ac:dyDescent="0.25">
      <c r="A140" s="9" t="s">
        <v>101</v>
      </c>
      <c r="F140" s="23"/>
      <c r="G140" s="9"/>
    </row>
    <row r="141" spans="1:7" ht="13.5" hidden="1" thickBot="1" x14ac:dyDescent="0.25">
      <c r="A141" s="57" t="s">
        <v>53</v>
      </c>
      <c r="B141" s="58" t="s">
        <v>54</v>
      </c>
      <c r="C141" s="58" t="s">
        <v>37</v>
      </c>
      <c r="D141" s="59" t="s">
        <v>209</v>
      </c>
      <c r="E141" s="59" t="s">
        <v>55</v>
      </c>
      <c r="F141" s="60" t="s">
        <v>56</v>
      </c>
      <c r="G141" s="9"/>
    </row>
    <row r="142" spans="1:7" hidden="1" x14ac:dyDescent="0.2">
      <c r="A142" s="16" t="str">
        <f>+A136</f>
        <v xml:space="preserve">Reciclador/Supervisor/Operador </v>
      </c>
      <c r="B142" s="17" t="s">
        <v>10</v>
      </c>
      <c r="C142" s="94">
        <f>E42+E43</f>
        <v>8</v>
      </c>
      <c r="D142" s="83"/>
      <c r="E142" s="49">
        <f>C142*D142</f>
        <v>0</v>
      </c>
      <c r="F142" s="23"/>
      <c r="G142" s="9"/>
    </row>
    <row r="143" spans="1:7" ht="13.5" hidden="1" thickBot="1" x14ac:dyDescent="0.25">
      <c r="A143" s="16" t="str">
        <f>+A137</f>
        <v xml:space="preserve">Operador </v>
      </c>
      <c r="B143" s="17" t="s">
        <v>10</v>
      </c>
      <c r="C143" s="94">
        <v>0</v>
      </c>
      <c r="D143" s="83">
        <v>59.58</v>
      </c>
      <c r="E143" s="49">
        <f>C143*D143</f>
        <v>0</v>
      </c>
      <c r="F143" s="23"/>
      <c r="G143" s="9"/>
    </row>
    <row r="144" spans="1:7" ht="13.5" hidden="1" thickBot="1" x14ac:dyDescent="0.25">
      <c r="D144" s="114" t="s">
        <v>172</v>
      </c>
      <c r="E144" s="263">
        <f>$B$52</f>
        <v>1</v>
      </c>
      <c r="F144" s="22">
        <f>SUM(E142:E143)*E144</f>
        <v>0</v>
      </c>
      <c r="G144" s="9"/>
    </row>
    <row r="145" spans="1:7" ht="13.5" hidden="1" thickBot="1" x14ac:dyDescent="0.25">
      <c r="G145" s="9"/>
    </row>
    <row r="146" spans="1:7" ht="13.5" thickBot="1" x14ac:dyDescent="0.25">
      <c r="A146" s="24" t="s">
        <v>79</v>
      </c>
      <c r="B146" s="25"/>
      <c r="C146" s="25"/>
      <c r="D146" s="26"/>
      <c r="E146" s="27"/>
      <c r="F146" s="22">
        <f>F144+F138+F131+F121+F101+F86+F67</f>
        <v>40395.23977694114</v>
      </c>
      <c r="G146" s="9"/>
    </row>
    <row r="148" spans="1:7" x14ac:dyDescent="0.2">
      <c r="A148" s="11" t="s">
        <v>41</v>
      </c>
      <c r="G148" s="9"/>
    </row>
    <row r="149" spans="1:7" ht="11.25" customHeight="1" x14ac:dyDescent="0.2">
      <c r="G149" s="9"/>
    </row>
    <row r="150" spans="1:7" ht="13.9" customHeight="1" thickBot="1" x14ac:dyDescent="0.25">
      <c r="A150" s="7" t="s">
        <v>286</v>
      </c>
      <c r="G150" s="9"/>
    </row>
    <row r="151" spans="1:7" ht="27.75" customHeight="1" thickBot="1" x14ac:dyDescent="0.25">
      <c r="A151" s="57" t="s">
        <v>53</v>
      </c>
      <c r="B151" s="58" t="s">
        <v>54</v>
      </c>
      <c r="C151" s="240" t="s">
        <v>230</v>
      </c>
      <c r="D151" s="59" t="s">
        <v>209</v>
      </c>
      <c r="E151" s="59" t="s">
        <v>55</v>
      </c>
      <c r="F151" s="60" t="s">
        <v>56</v>
      </c>
      <c r="G151" s="9"/>
    </row>
    <row r="152" spans="1:7" x14ac:dyDescent="0.2">
      <c r="A152" s="13" t="s">
        <v>57</v>
      </c>
      <c r="B152" s="14" t="s">
        <v>10</v>
      </c>
      <c r="C152" s="278">
        <v>12</v>
      </c>
      <c r="D152" s="261">
        <v>140</v>
      </c>
      <c r="E152" s="15">
        <f>IFERROR(D152/C152,0)</f>
        <v>11.666666666666666</v>
      </c>
      <c r="G152" s="9"/>
    </row>
    <row r="153" spans="1:7" ht="13.15" customHeight="1" x14ac:dyDescent="0.2">
      <c r="A153" s="16" t="s">
        <v>27</v>
      </c>
      <c r="B153" s="17" t="s">
        <v>10</v>
      </c>
      <c r="C153" s="278">
        <v>4</v>
      </c>
      <c r="D153" s="277">
        <v>60</v>
      </c>
      <c r="E153" s="15">
        <f t="shared" ref="E153:E160" si="1">IFERROR(D153/C153,0)</f>
        <v>15</v>
      </c>
      <c r="G153" s="9"/>
    </row>
    <row r="154" spans="1:7" x14ac:dyDescent="0.2">
      <c r="A154" s="16" t="s">
        <v>28</v>
      </c>
      <c r="B154" s="17" t="s">
        <v>10</v>
      </c>
      <c r="C154" s="278">
        <v>2</v>
      </c>
      <c r="D154" s="277">
        <v>28</v>
      </c>
      <c r="E154" s="15">
        <f t="shared" si="1"/>
        <v>14</v>
      </c>
      <c r="G154" s="9"/>
    </row>
    <row r="155" spans="1:7" ht="13.15" customHeight="1" x14ac:dyDescent="0.2">
      <c r="A155" s="16" t="s">
        <v>29</v>
      </c>
      <c r="B155" s="17" t="s">
        <v>10</v>
      </c>
      <c r="C155" s="278">
        <v>4</v>
      </c>
      <c r="D155" s="277">
        <v>18</v>
      </c>
      <c r="E155" s="15">
        <f t="shared" si="1"/>
        <v>4.5</v>
      </c>
      <c r="G155" s="9"/>
    </row>
    <row r="156" spans="1:7" ht="13.9" customHeight="1" x14ac:dyDescent="0.2">
      <c r="A156" s="16" t="s">
        <v>59</v>
      </c>
      <c r="B156" s="17" t="s">
        <v>44</v>
      </c>
      <c r="C156" s="278">
        <v>4</v>
      </c>
      <c r="D156" s="277">
        <v>70</v>
      </c>
      <c r="E156" s="15">
        <f t="shared" si="1"/>
        <v>17.5</v>
      </c>
      <c r="G156" s="9"/>
    </row>
    <row r="157" spans="1:7" ht="13.15" customHeight="1" x14ac:dyDescent="0.2">
      <c r="A157" s="16" t="s">
        <v>80</v>
      </c>
      <c r="B157" s="17" t="s">
        <v>44</v>
      </c>
      <c r="C157" s="278">
        <v>2</v>
      </c>
      <c r="D157" s="277">
        <v>10</v>
      </c>
      <c r="E157" s="15">
        <f t="shared" si="1"/>
        <v>5</v>
      </c>
    </row>
    <row r="158" spans="1:7" s="1" customFormat="1" hidden="1" x14ac:dyDescent="0.2">
      <c r="A158" s="2" t="s">
        <v>11</v>
      </c>
      <c r="B158" s="3" t="s">
        <v>10</v>
      </c>
      <c r="C158" s="278">
        <v>0</v>
      </c>
      <c r="D158" s="277">
        <v>20</v>
      </c>
      <c r="E158" s="15">
        <f t="shared" si="1"/>
        <v>0</v>
      </c>
      <c r="F158" s="37"/>
      <c r="G158" s="37"/>
    </row>
    <row r="159" spans="1:7" x14ac:dyDescent="0.2">
      <c r="A159" s="279" t="s">
        <v>332</v>
      </c>
      <c r="B159" s="17" t="s">
        <v>44</v>
      </c>
      <c r="C159" s="278">
        <v>0.2</v>
      </c>
      <c r="D159" s="277">
        <v>5</v>
      </c>
      <c r="E159" s="15">
        <f t="shared" si="1"/>
        <v>25</v>
      </c>
    </row>
    <row r="160" spans="1:7" hidden="1" x14ac:dyDescent="0.2">
      <c r="A160" s="16" t="s">
        <v>52</v>
      </c>
      <c r="B160" s="17" t="s">
        <v>45</v>
      </c>
      <c r="C160" s="278">
        <v>0</v>
      </c>
      <c r="D160" s="277">
        <v>15</v>
      </c>
      <c r="E160" s="15">
        <f t="shared" si="1"/>
        <v>0</v>
      </c>
    </row>
    <row r="161" spans="1:7" ht="13.5" thickBot="1" x14ac:dyDescent="0.25">
      <c r="A161" s="16" t="s">
        <v>5</v>
      </c>
      <c r="B161" s="17" t="s">
        <v>6</v>
      </c>
      <c r="C161" s="66">
        <f>E42</f>
        <v>7</v>
      </c>
      <c r="D161" s="18">
        <f>+SUM(E152:E160)</f>
        <v>92.666666666666657</v>
      </c>
      <c r="E161" s="18">
        <f t="shared" ref="E161" si="2">C161*D161</f>
        <v>648.66666666666663</v>
      </c>
    </row>
    <row r="162" spans="1:7" ht="13.5" thickBot="1" x14ac:dyDescent="0.25">
      <c r="D162" s="114" t="s">
        <v>172</v>
      </c>
      <c r="E162" s="263">
        <f>$B$52</f>
        <v>1</v>
      </c>
      <c r="F162" s="115">
        <f>E161*E162</f>
        <v>648.66666666666663</v>
      </c>
    </row>
    <row r="163" spans="1:7" ht="11.25" customHeight="1" x14ac:dyDescent="0.2"/>
    <row r="164" spans="1:7" ht="13.9" customHeight="1" thickBot="1" x14ac:dyDescent="0.25">
      <c r="A164" s="9" t="s">
        <v>174</v>
      </c>
    </row>
    <row r="165" spans="1:7" ht="24.75" thickBot="1" x14ac:dyDescent="0.25">
      <c r="A165" s="57" t="s">
        <v>53</v>
      </c>
      <c r="B165" s="58" t="s">
        <v>54</v>
      </c>
      <c r="C165" s="240" t="s">
        <v>230</v>
      </c>
      <c r="D165" s="59" t="s">
        <v>209</v>
      </c>
      <c r="E165" s="59" t="s">
        <v>55</v>
      </c>
      <c r="F165" s="60" t="s">
        <v>56</v>
      </c>
    </row>
    <row r="166" spans="1:7" x14ac:dyDescent="0.2">
      <c r="A166" s="13" t="s">
        <v>57</v>
      </c>
      <c r="B166" s="14" t="s">
        <v>10</v>
      </c>
      <c r="C166" s="282">
        <f>C152</f>
        <v>12</v>
      </c>
      <c r="D166" s="15">
        <f>+D152</f>
        <v>140</v>
      </c>
      <c r="E166" s="15">
        <f>IFERROR(D166/C166,0)</f>
        <v>11.666666666666666</v>
      </c>
    </row>
    <row r="167" spans="1:7" x14ac:dyDescent="0.2">
      <c r="A167" s="16" t="s">
        <v>27</v>
      </c>
      <c r="B167" s="17" t="s">
        <v>10</v>
      </c>
      <c r="C167" s="282">
        <f>C153</f>
        <v>4</v>
      </c>
      <c r="D167" s="18">
        <f>+D153</f>
        <v>60</v>
      </c>
      <c r="E167" s="15">
        <f t="shared" ref="E167:E171" si="3">IFERROR(D167/C167,0)</f>
        <v>15</v>
      </c>
    </row>
    <row r="168" spans="1:7" x14ac:dyDescent="0.2">
      <c r="A168" s="16" t="s">
        <v>28</v>
      </c>
      <c r="B168" s="17" t="s">
        <v>10</v>
      </c>
      <c r="C168" s="282">
        <f>C154</f>
        <v>2</v>
      </c>
      <c r="D168" s="18">
        <f>+D154</f>
        <v>28</v>
      </c>
      <c r="E168" s="15">
        <f t="shared" si="3"/>
        <v>14</v>
      </c>
    </row>
    <row r="169" spans="1:7" x14ac:dyDescent="0.2">
      <c r="A169" s="16" t="s">
        <v>59</v>
      </c>
      <c r="B169" s="17" t="s">
        <v>44</v>
      </c>
      <c r="C169" s="282">
        <f>C156</f>
        <v>4</v>
      </c>
      <c r="D169" s="18">
        <f>+D156</f>
        <v>70</v>
      </c>
      <c r="E169" s="15">
        <f t="shared" si="3"/>
        <v>17.5</v>
      </c>
    </row>
    <row r="170" spans="1:7" hidden="1" x14ac:dyDescent="0.2">
      <c r="A170" s="16" t="s">
        <v>58</v>
      </c>
      <c r="B170" s="17" t="s">
        <v>10</v>
      </c>
      <c r="C170" s="93" t="e">
        <f>#REF!</f>
        <v>#REF!</v>
      </c>
      <c r="D170" s="18" t="e">
        <f>+#REF!</f>
        <v>#REF!</v>
      </c>
      <c r="E170" s="15">
        <f t="shared" si="3"/>
        <v>0</v>
      </c>
      <c r="G170" s="9"/>
    </row>
    <row r="171" spans="1:7" hidden="1" x14ac:dyDescent="0.2">
      <c r="A171" s="16" t="s">
        <v>52</v>
      </c>
      <c r="B171" s="17" t="s">
        <v>45</v>
      </c>
      <c r="C171" s="93">
        <f>C160</f>
        <v>0</v>
      </c>
      <c r="D171" s="18">
        <f>+D160</f>
        <v>15</v>
      </c>
      <c r="E171" s="15">
        <f t="shared" si="3"/>
        <v>0</v>
      </c>
      <c r="G171" s="9"/>
    </row>
    <row r="172" spans="1:7" ht="13.5" thickBot="1" x14ac:dyDescent="0.25">
      <c r="A172" s="16" t="s">
        <v>5</v>
      </c>
      <c r="B172" s="17" t="s">
        <v>6</v>
      </c>
      <c r="C172" s="66">
        <f>E44+E45+E43</f>
        <v>2</v>
      </c>
      <c r="D172" s="18">
        <f>+SUM(E166:E171)</f>
        <v>58.166666666666664</v>
      </c>
      <c r="E172" s="18">
        <f t="shared" ref="E172" si="4">C172*D172</f>
        <v>116.33333333333333</v>
      </c>
      <c r="G172" s="9"/>
    </row>
    <row r="173" spans="1:7" ht="13.5" thickBot="1" x14ac:dyDescent="0.25">
      <c r="D173" s="114" t="s">
        <v>172</v>
      </c>
      <c r="E173" s="263">
        <f>$B$52</f>
        <v>1</v>
      </c>
      <c r="F173" s="115">
        <f>E172*E173</f>
        <v>116.33333333333333</v>
      </c>
      <c r="G173" s="9"/>
    </row>
    <row r="174" spans="1:7" ht="11.25" customHeight="1" thickBot="1" x14ac:dyDescent="0.25">
      <c r="G174" s="9"/>
    </row>
    <row r="175" spans="1:7" ht="13.5" thickBot="1" x14ac:dyDescent="0.25">
      <c r="A175" s="24" t="s">
        <v>175</v>
      </c>
      <c r="B175" s="28"/>
      <c r="C175" s="28"/>
      <c r="D175" s="29"/>
      <c r="E175" s="30"/>
      <c r="F175" s="21">
        <f>+F162+F173</f>
        <v>765</v>
      </c>
      <c r="G175" s="9"/>
    </row>
    <row r="176" spans="1:7" ht="11.25" customHeight="1" x14ac:dyDescent="0.2">
      <c r="G176" s="9"/>
    </row>
    <row r="177" spans="1:10" x14ac:dyDescent="0.2">
      <c r="A177" s="11" t="s">
        <v>301</v>
      </c>
      <c r="G177" s="9"/>
    </row>
    <row r="178" spans="1:10" ht="11.25" hidden="1" customHeight="1" x14ac:dyDescent="0.2">
      <c r="B178" s="98"/>
      <c r="G178" s="9"/>
    </row>
    <row r="179" spans="1:10" hidden="1" x14ac:dyDescent="0.2">
      <c r="A179" s="7" t="s">
        <v>289</v>
      </c>
      <c r="G179" s="9"/>
    </row>
    <row r="180" spans="1:10" ht="11.25" hidden="1" customHeight="1" x14ac:dyDescent="0.2">
      <c r="G180" s="9"/>
    </row>
    <row r="181" spans="1:10" ht="13.5" hidden="1" thickBot="1" x14ac:dyDescent="0.25">
      <c r="A181" s="98" t="s">
        <v>42</v>
      </c>
      <c r="G181" s="9"/>
    </row>
    <row r="182" spans="1:10" ht="13.5" hidden="1" thickBot="1" x14ac:dyDescent="0.25">
      <c r="A182" s="57" t="s">
        <v>53</v>
      </c>
      <c r="B182" s="58" t="s">
        <v>54</v>
      </c>
      <c r="C182" s="58" t="s">
        <v>37</v>
      </c>
      <c r="D182" s="59" t="s">
        <v>209</v>
      </c>
      <c r="E182" s="59" t="s">
        <v>55</v>
      </c>
      <c r="F182" s="60" t="s">
        <v>56</v>
      </c>
      <c r="G182" s="9"/>
    </row>
    <row r="183" spans="1:10" hidden="1" x14ac:dyDescent="0.2">
      <c r="A183" s="13" t="s">
        <v>88</v>
      </c>
      <c r="B183" s="14" t="s">
        <v>10</v>
      </c>
      <c r="C183" s="14">
        <v>1</v>
      </c>
      <c r="D183" s="81">
        <v>223640</v>
      </c>
      <c r="E183" s="15">
        <f>C183*D183</f>
        <v>223640</v>
      </c>
      <c r="G183" s="9"/>
    </row>
    <row r="184" spans="1:10" hidden="1" x14ac:dyDescent="0.2">
      <c r="A184" s="16" t="s">
        <v>85</v>
      </c>
      <c r="B184" s="17" t="s">
        <v>86</v>
      </c>
      <c r="C184" s="80">
        <v>10</v>
      </c>
      <c r="D184" s="77"/>
      <c r="E184" s="18"/>
      <c r="G184" s="9"/>
    </row>
    <row r="185" spans="1:10" hidden="1" x14ac:dyDescent="0.2">
      <c r="A185" s="16" t="s">
        <v>185</v>
      </c>
      <c r="B185" s="17" t="s">
        <v>86</v>
      </c>
      <c r="C185" s="80">
        <v>5</v>
      </c>
      <c r="D185" s="18"/>
      <c r="E185" s="18"/>
      <c r="F185" s="20"/>
      <c r="I185" s="79"/>
      <c r="J185" s="79"/>
    </row>
    <row r="186" spans="1:10" hidden="1" x14ac:dyDescent="0.2">
      <c r="A186" s="16" t="s">
        <v>87</v>
      </c>
      <c r="B186" s="17" t="s">
        <v>2</v>
      </c>
      <c r="C186" s="129">
        <f>IFERROR(VLOOKUP(C184,#REF!,2,FALSE),0)</f>
        <v>0</v>
      </c>
      <c r="D186" s="18">
        <f>E183</f>
        <v>223640</v>
      </c>
      <c r="E186" s="18">
        <f>C186*D186/100</f>
        <v>0</v>
      </c>
    </row>
    <row r="187" spans="1:10" ht="13.5" hidden="1" thickBot="1" x14ac:dyDescent="0.25">
      <c r="A187" s="247" t="s">
        <v>46</v>
      </c>
      <c r="B187" s="248" t="s">
        <v>8</v>
      </c>
      <c r="C187" s="248">
        <f>C184*12</f>
        <v>120</v>
      </c>
      <c r="D187" s="249">
        <f>IF(C185&lt;=C184,E186,0)</f>
        <v>0</v>
      </c>
      <c r="E187" s="249">
        <f>IFERROR(D187/C187,0)</f>
        <v>0</v>
      </c>
    </row>
    <row r="188" spans="1:10" ht="13.5" hidden="1" thickTop="1" x14ac:dyDescent="0.2">
      <c r="A188" s="255" t="s">
        <v>273</v>
      </c>
      <c r="B188" s="14" t="s">
        <v>10</v>
      </c>
      <c r="C188" s="14">
        <f>C183</f>
        <v>1</v>
      </c>
      <c r="D188" s="81">
        <v>50000</v>
      </c>
      <c r="E188" s="15">
        <f>C188*D188</f>
        <v>50000</v>
      </c>
      <c r="G188" s="9"/>
    </row>
    <row r="189" spans="1:10" hidden="1" x14ac:dyDescent="0.2">
      <c r="A189" s="279" t="s">
        <v>274</v>
      </c>
      <c r="B189" s="17" t="s">
        <v>86</v>
      </c>
      <c r="C189" s="80">
        <v>10</v>
      </c>
      <c r="D189" s="18"/>
      <c r="E189" s="18"/>
    </row>
    <row r="190" spans="1:10" hidden="1" x14ac:dyDescent="0.2">
      <c r="A190" s="279" t="s">
        <v>275</v>
      </c>
      <c r="B190" s="17" t="s">
        <v>86</v>
      </c>
      <c r="C190" s="80">
        <v>5</v>
      </c>
      <c r="D190" s="18"/>
      <c r="E190" s="18"/>
      <c r="F190" s="20"/>
      <c r="I190" s="79"/>
      <c r="J190" s="79"/>
    </row>
    <row r="191" spans="1:10" hidden="1" x14ac:dyDescent="0.2">
      <c r="A191" s="279" t="s">
        <v>276</v>
      </c>
      <c r="B191" s="17" t="s">
        <v>2</v>
      </c>
      <c r="C191" s="130">
        <f>IFERROR(VLOOKUP(C189,#REF!,2,FALSE),0)</f>
        <v>0</v>
      </c>
      <c r="D191" s="18">
        <f>E188</f>
        <v>50000</v>
      </c>
      <c r="E191" s="18">
        <f>C191*D191/100</f>
        <v>0</v>
      </c>
    </row>
    <row r="192" spans="1:10" hidden="1" x14ac:dyDescent="0.2">
      <c r="A192" s="95" t="s">
        <v>277</v>
      </c>
      <c r="B192" s="96" t="s">
        <v>8</v>
      </c>
      <c r="C192" s="96">
        <f>C189*12</f>
        <v>120</v>
      </c>
      <c r="D192" s="97">
        <f>IF(C190&lt;=C189,E191,0)</f>
        <v>0</v>
      </c>
      <c r="E192" s="97">
        <f>IFERROR(D192/C192,0)</f>
        <v>0</v>
      </c>
    </row>
    <row r="193" spans="1:10" hidden="1" x14ac:dyDescent="0.2">
      <c r="A193" s="108" t="s">
        <v>233</v>
      </c>
      <c r="B193" s="109"/>
      <c r="C193" s="109"/>
      <c r="D193" s="110"/>
      <c r="E193" s="111">
        <f>E187+E192</f>
        <v>0</v>
      </c>
    </row>
    <row r="194" spans="1:10" ht="13.5" hidden="1" thickBot="1" x14ac:dyDescent="0.25">
      <c r="A194" s="95" t="s">
        <v>234</v>
      </c>
      <c r="B194" s="96" t="s">
        <v>10</v>
      </c>
      <c r="C194" s="80">
        <v>0</v>
      </c>
      <c r="D194" s="97">
        <f>E193</f>
        <v>0</v>
      </c>
      <c r="E194" s="111">
        <f>C194*D194</f>
        <v>0</v>
      </c>
    </row>
    <row r="195" spans="1:10" ht="13.5" hidden="1" thickBot="1" x14ac:dyDescent="0.25">
      <c r="A195" s="245"/>
      <c r="B195" s="245"/>
      <c r="C195" s="245"/>
      <c r="D195" s="114" t="s">
        <v>172</v>
      </c>
      <c r="E195" s="263">
        <f>$B$52</f>
        <v>1</v>
      </c>
      <c r="F195" s="21">
        <f>E194*E195</f>
        <v>0</v>
      </c>
    </row>
    <row r="196" spans="1:10" ht="11.25" hidden="1" customHeight="1" x14ac:dyDescent="0.2"/>
    <row r="197" spans="1:10" ht="13.5" hidden="1" thickBot="1" x14ac:dyDescent="0.25">
      <c r="A197" s="98" t="s">
        <v>93</v>
      </c>
    </row>
    <row r="198" spans="1:10" ht="13.5" hidden="1" thickBot="1" x14ac:dyDescent="0.25">
      <c r="A198" s="100" t="s">
        <v>53</v>
      </c>
      <c r="B198" s="101" t="s">
        <v>54</v>
      </c>
      <c r="C198" s="101" t="s">
        <v>37</v>
      </c>
      <c r="D198" s="59" t="s">
        <v>209</v>
      </c>
      <c r="E198" s="102" t="s">
        <v>55</v>
      </c>
      <c r="F198" s="60" t="s">
        <v>56</v>
      </c>
      <c r="I198" s="79"/>
      <c r="J198" s="79"/>
    </row>
    <row r="199" spans="1:10" hidden="1" x14ac:dyDescent="0.2">
      <c r="A199" s="16" t="s">
        <v>91</v>
      </c>
      <c r="B199" s="17" t="s">
        <v>10</v>
      </c>
      <c r="C199" s="14">
        <v>1</v>
      </c>
      <c r="D199" s="18">
        <f>D183</f>
        <v>223640</v>
      </c>
      <c r="E199" s="18">
        <f>C199*D199</f>
        <v>223640</v>
      </c>
      <c r="F199" s="20"/>
      <c r="I199" s="79"/>
      <c r="J199" s="79"/>
    </row>
    <row r="200" spans="1:10" hidden="1" x14ac:dyDescent="0.2">
      <c r="A200" s="16" t="s">
        <v>188</v>
      </c>
      <c r="B200" s="17" t="s">
        <v>2</v>
      </c>
      <c r="C200" s="80">
        <v>6</v>
      </c>
      <c r="D200" s="18"/>
      <c r="E200" s="18"/>
      <c r="F200" s="20"/>
      <c r="I200" s="79"/>
      <c r="J200" s="79"/>
    </row>
    <row r="201" spans="1:10" hidden="1" x14ac:dyDescent="0.2">
      <c r="A201" s="16" t="s">
        <v>186</v>
      </c>
      <c r="B201" s="17" t="s">
        <v>31</v>
      </c>
      <c r="C201" s="135">
        <f>IFERROR(IF(C185&lt;=C184,E183-(C186/(100*C184)*C185)*E183,E183-E186),0)</f>
        <v>223640</v>
      </c>
      <c r="D201" s="18"/>
      <c r="E201" s="18"/>
      <c r="F201" s="20"/>
      <c r="I201" s="79"/>
      <c r="J201" s="79"/>
    </row>
    <row r="202" spans="1:10" hidden="1" x14ac:dyDescent="0.2">
      <c r="A202" s="16" t="s">
        <v>96</v>
      </c>
      <c r="B202" s="17" t="s">
        <v>31</v>
      </c>
      <c r="C202" s="77">
        <f>IFERROR(IF(C185&gt;=C184,C201,((((C201)-(E183-E186))*(((C184-C185)+1)/(2*(C184-C185))))+(E183-E186))),0)</f>
        <v>223640</v>
      </c>
      <c r="D202" s="18"/>
      <c r="E202" s="18"/>
      <c r="F202" s="20"/>
      <c r="I202" s="79"/>
      <c r="J202" s="79"/>
    </row>
    <row r="203" spans="1:10" ht="13.5" hidden="1" thickBot="1" x14ac:dyDescent="0.25">
      <c r="A203" s="247" t="s">
        <v>97</v>
      </c>
      <c r="B203" s="248" t="s">
        <v>31</v>
      </c>
      <c r="C203" s="248"/>
      <c r="D203" s="250">
        <f>C200*C202/12/100</f>
        <v>1118.2</v>
      </c>
      <c r="E203" s="249">
        <f>D203</f>
        <v>1118.2</v>
      </c>
      <c r="F203" s="20"/>
      <c r="I203" s="79"/>
      <c r="J203" s="79"/>
    </row>
    <row r="204" spans="1:10" ht="13.5" hidden="1" thickTop="1" x14ac:dyDescent="0.2">
      <c r="A204" s="13" t="s">
        <v>92</v>
      </c>
      <c r="B204" s="14" t="s">
        <v>10</v>
      </c>
      <c r="C204" s="14">
        <f>C188</f>
        <v>1</v>
      </c>
      <c r="D204" s="15">
        <f>D188</f>
        <v>50000</v>
      </c>
      <c r="E204" s="15">
        <f>C204*D204</f>
        <v>50000</v>
      </c>
      <c r="F204" s="20"/>
      <c r="I204" s="79"/>
      <c r="J204" s="79"/>
    </row>
    <row r="205" spans="1:10" hidden="1" x14ac:dyDescent="0.2">
      <c r="A205" s="16" t="s">
        <v>188</v>
      </c>
      <c r="B205" s="17" t="s">
        <v>2</v>
      </c>
      <c r="C205" s="17">
        <f>C200</f>
        <v>6</v>
      </c>
      <c r="D205" s="18"/>
      <c r="E205" s="18"/>
      <c r="F205" s="20"/>
      <c r="I205" s="79"/>
      <c r="J205" s="79"/>
    </row>
    <row r="206" spans="1:10" hidden="1" x14ac:dyDescent="0.2">
      <c r="A206" s="16" t="s">
        <v>187</v>
      </c>
      <c r="B206" s="17" t="s">
        <v>31</v>
      </c>
      <c r="C206" s="135">
        <f>IFERROR(IF(C190&lt;=C189,E188-(C191/(100*C189)*C190)*E188,E188-E191),0)</f>
        <v>50000</v>
      </c>
      <c r="D206" s="18"/>
      <c r="E206" s="18"/>
      <c r="F206" s="20"/>
      <c r="I206" s="79"/>
      <c r="J206" s="79"/>
    </row>
    <row r="207" spans="1:10" hidden="1" x14ac:dyDescent="0.2">
      <c r="A207" s="16" t="s">
        <v>98</v>
      </c>
      <c r="B207" s="17" t="s">
        <v>31</v>
      </c>
      <c r="C207" s="77">
        <f>IFERROR(IF(C190&gt;=C189,C206,((((C206)-(E188-E191))*(((C189-C190)+1)/(2*(C189-C190))))+(E188-E191))),0)</f>
        <v>50000</v>
      </c>
      <c r="D207" s="18"/>
      <c r="E207" s="18"/>
      <c r="F207" s="20"/>
      <c r="I207" s="79"/>
      <c r="J207" s="79"/>
    </row>
    <row r="208" spans="1:10" hidden="1" x14ac:dyDescent="0.2">
      <c r="A208" s="95" t="s">
        <v>95</v>
      </c>
      <c r="B208" s="96" t="s">
        <v>31</v>
      </c>
      <c r="C208" s="96"/>
      <c r="D208" s="104">
        <f>C205*C207/12/100</f>
        <v>250</v>
      </c>
      <c r="E208" s="97">
        <f>D208</f>
        <v>250</v>
      </c>
      <c r="F208" s="20"/>
      <c r="I208" s="79"/>
      <c r="J208" s="79"/>
    </row>
    <row r="209" spans="1:10" hidden="1" x14ac:dyDescent="0.2">
      <c r="A209" s="108" t="s">
        <v>233</v>
      </c>
      <c r="B209" s="109"/>
      <c r="C209" s="109"/>
      <c r="D209" s="110"/>
      <c r="E209" s="111">
        <f>E203+E208</f>
        <v>1368.2</v>
      </c>
      <c r="F209" s="20"/>
      <c r="I209" s="79"/>
      <c r="J209" s="79"/>
    </row>
    <row r="210" spans="1:10" ht="13.5" hidden="1" thickBot="1" x14ac:dyDescent="0.25">
      <c r="A210" s="95" t="s">
        <v>234</v>
      </c>
      <c r="B210" s="96" t="s">
        <v>10</v>
      </c>
      <c r="C210" s="17">
        <f>C194</f>
        <v>0</v>
      </c>
      <c r="D210" s="97">
        <f>E209</f>
        <v>1368.2</v>
      </c>
      <c r="E210" s="111">
        <f>C210*D210</f>
        <v>0</v>
      </c>
      <c r="F210" s="20"/>
      <c r="I210" s="79"/>
      <c r="J210" s="79"/>
    </row>
    <row r="211" spans="1:10" ht="13.5" hidden="1" thickBot="1" x14ac:dyDescent="0.25">
      <c r="C211" s="19"/>
      <c r="D211" s="114" t="s">
        <v>172</v>
      </c>
      <c r="E211" s="263">
        <f>$B$52</f>
        <v>1</v>
      </c>
      <c r="F211" s="21">
        <f>E210*E211</f>
        <v>0</v>
      </c>
      <c r="I211" s="79"/>
      <c r="J211" s="79"/>
    </row>
    <row r="212" spans="1:10" ht="11.25" hidden="1" customHeight="1" x14ac:dyDescent="0.2">
      <c r="I212" s="79"/>
      <c r="J212" s="79"/>
    </row>
    <row r="213" spans="1:10" ht="13.5" hidden="1" thickBot="1" x14ac:dyDescent="0.25">
      <c r="A213" s="9" t="s">
        <v>47</v>
      </c>
      <c r="I213" s="79"/>
      <c r="J213" s="79"/>
    </row>
    <row r="214" spans="1:10" ht="13.5" hidden="1" thickBot="1" x14ac:dyDescent="0.25">
      <c r="A214" s="57" t="s">
        <v>53</v>
      </c>
      <c r="B214" s="58" t="s">
        <v>54</v>
      </c>
      <c r="C214" s="58" t="s">
        <v>37</v>
      </c>
      <c r="D214" s="59" t="s">
        <v>209</v>
      </c>
      <c r="E214" s="59" t="s">
        <v>55</v>
      </c>
      <c r="F214" s="60" t="s">
        <v>56</v>
      </c>
      <c r="I214" s="79"/>
      <c r="J214" s="79"/>
    </row>
    <row r="215" spans="1:10" hidden="1" x14ac:dyDescent="0.2">
      <c r="A215" s="13" t="s">
        <v>12</v>
      </c>
      <c r="B215" s="14" t="s">
        <v>10</v>
      </c>
      <c r="C215" s="15">
        <f>C194</f>
        <v>0</v>
      </c>
      <c r="D215" s="15">
        <f>0.01*($E$183)</f>
        <v>2236.4</v>
      </c>
      <c r="E215" s="15">
        <f>C215*D215</f>
        <v>0</v>
      </c>
      <c r="I215" s="79"/>
      <c r="J215" s="79"/>
    </row>
    <row r="216" spans="1:10" hidden="1" x14ac:dyDescent="0.2">
      <c r="A216" s="16" t="s">
        <v>171</v>
      </c>
      <c r="B216" s="17" t="s">
        <v>10</v>
      </c>
      <c r="C216" s="15">
        <f>C194</f>
        <v>0</v>
      </c>
      <c r="D216" s="83">
        <v>150</v>
      </c>
      <c r="E216" s="18">
        <f>C216*D216</f>
        <v>0</v>
      </c>
      <c r="I216" s="79"/>
      <c r="J216" s="79"/>
    </row>
    <row r="217" spans="1:10" hidden="1" x14ac:dyDescent="0.2">
      <c r="A217" s="16" t="s">
        <v>13</v>
      </c>
      <c r="B217" s="17" t="s">
        <v>10</v>
      </c>
      <c r="C217" s="15">
        <f>C194</f>
        <v>0</v>
      </c>
      <c r="D217" s="83">
        <v>2510</v>
      </c>
      <c r="E217" s="18">
        <f>C217*D217</f>
        <v>0</v>
      </c>
      <c r="F217" s="31"/>
      <c r="I217" s="79"/>
      <c r="J217" s="79"/>
    </row>
    <row r="218" spans="1:10" ht="13.5" hidden="1" thickBot="1" x14ac:dyDescent="0.25">
      <c r="A218" s="95" t="s">
        <v>14</v>
      </c>
      <c r="B218" s="96" t="s">
        <v>8</v>
      </c>
      <c r="C218" s="96">
        <v>12</v>
      </c>
      <c r="D218" s="97">
        <f>SUM(E215:E217)</f>
        <v>0</v>
      </c>
      <c r="E218" s="97">
        <f>D218/C218</f>
        <v>0</v>
      </c>
      <c r="I218" s="79"/>
      <c r="J218" s="79"/>
    </row>
    <row r="219" spans="1:10" ht="13.5" hidden="1" thickBot="1" x14ac:dyDescent="0.25">
      <c r="D219" s="114" t="s">
        <v>172</v>
      </c>
      <c r="E219" s="263">
        <f>$B$52</f>
        <v>1</v>
      </c>
      <c r="F219" s="115">
        <f>E218*E219</f>
        <v>0</v>
      </c>
      <c r="I219" s="79"/>
      <c r="J219" s="79"/>
    </row>
    <row r="220" spans="1:10" ht="11.25" hidden="1" customHeight="1" x14ac:dyDescent="0.2">
      <c r="I220" s="79"/>
      <c r="J220" s="79"/>
    </row>
    <row r="221" spans="1:10" hidden="1" x14ac:dyDescent="0.2">
      <c r="A221" s="9" t="s">
        <v>48</v>
      </c>
      <c r="B221" s="32"/>
      <c r="I221" s="79"/>
      <c r="J221" s="79"/>
    </row>
    <row r="222" spans="1:10" hidden="1" x14ac:dyDescent="0.2">
      <c r="B222" s="32"/>
      <c r="I222" s="79"/>
      <c r="J222" s="79"/>
    </row>
    <row r="223" spans="1:10" hidden="1" x14ac:dyDescent="0.2">
      <c r="A223" s="95" t="s">
        <v>99</v>
      </c>
      <c r="B223" s="105">
        <v>0</v>
      </c>
      <c r="I223" s="79"/>
      <c r="J223" s="79"/>
    </row>
    <row r="224" spans="1:10" ht="13.5" hidden="1" thickBot="1" x14ac:dyDescent="0.25">
      <c r="B224" s="32"/>
      <c r="I224" s="79"/>
      <c r="J224" s="79"/>
    </row>
    <row r="225" spans="1:10" ht="13.5" hidden="1" thickBot="1" x14ac:dyDescent="0.25">
      <c r="A225" s="57" t="s">
        <v>53</v>
      </c>
      <c r="B225" s="58" t="s">
        <v>54</v>
      </c>
      <c r="C225" s="58" t="s">
        <v>232</v>
      </c>
      <c r="D225" s="59" t="s">
        <v>209</v>
      </c>
      <c r="E225" s="59" t="s">
        <v>55</v>
      </c>
      <c r="F225" s="60" t="s">
        <v>56</v>
      </c>
      <c r="I225" s="79"/>
      <c r="J225" s="79"/>
    </row>
    <row r="226" spans="1:10" hidden="1" x14ac:dyDescent="0.2">
      <c r="A226" s="13" t="s">
        <v>15</v>
      </c>
      <c r="B226" s="14" t="s">
        <v>16</v>
      </c>
      <c r="C226" s="90">
        <v>4</v>
      </c>
      <c r="D226" s="91">
        <v>3.43</v>
      </c>
      <c r="E226" s="15"/>
      <c r="I226" s="79"/>
      <c r="J226" s="79"/>
    </row>
    <row r="227" spans="1:10" hidden="1" x14ac:dyDescent="0.2">
      <c r="A227" s="16" t="s">
        <v>17</v>
      </c>
      <c r="B227" s="17" t="s">
        <v>18</v>
      </c>
      <c r="C227" s="88">
        <f>B223</f>
        <v>0</v>
      </c>
      <c r="D227" s="244">
        <f>IFERROR(+D226/C226,"-")</f>
        <v>0.85750000000000004</v>
      </c>
      <c r="E227" s="18">
        <f>IFERROR(C227*D227,"-")</f>
        <v>0</v>
      </c>
      <c r="I227" s="79"/>
      <c r="J227" s="79"/>
    </row>
    <row r="228" spans="1:10" hidden="1" x14ac:dyDescent="0.2">
      <c r="A228" s="16" t="s">
        <v>210</v>
      </c>
      <c r="B228" s="17" t="s">
        <v>19</v>
      </c>
      <c r="C228" s="92">
        <v>1.33</v>
      </c>
      <c r="D228" s="83">
        <v>12.4</v>
      </c>
      <c r="E228" s="18"/>
      <c r="G228" s="103"/>
      <c r="I228" s="79"/>
      <c r="J228" s="79"/>
    </row>
    <row r="229" spans="1:10" hidden="1" x14ac:dyDescent="0.2">
      <c r="A229" s="16" t="s">
        <v>20</v>
      </c>
      <c r="B229" s="17" t="s">
        <v>18</v>
      </c>
      <c r="C229" s="88">
        <f>C227</f>
        <v>0</v>
      </c>
      <c r="D229" s="241">
        <f>+C228*D228/1000</f>
        <v>1.6492E-2</v>
      </c>
      <c r="E229" s="18">
        <f>C229*D229</f>
        <v>0</v>
      </c>
      <c r="G229" s="103"/>
      <c r="I229" s="79"/>
      <c r="J229" s="79"/>
    </row>
    <row r="230" spans="1:10" hidden="1" x14ac:dyDescent="0.2">
      <c r="A230" s="16" t="s">
        <v>211</v>
      </c>
      <c r="B230" s="17" t="s">
        <v>19</v>
      </c>
      <c r="C230" s="92">
        <v>0.18</v>
      </c>
      <c r="D230" s="83">
        <v>22</v>
      </c>
      <c r="E230" s="18"/>
      <c r="G230" s="103"/>
      <c r="I230" s="79"/>
      <c r="J230" s="79"/>
    </row>
    <row r="231" spans="1:10" hidden="1" x14ac:dyDescent="0.2">
      <c r="A231" s="16" t="s">
        <v>21</v>
      </c>
      <c r="B231" s="17" t="s">
        <v>18</v>
      </c>
      <c r="C231" s="88">
        <f>C227</f>
        <v>0</v>
      </c>
      <c r="D231" s="241">
        <f>+C230*D230/1000</f>
        <v>3.96E-3</v>
      </c>
      <c r="E231" s="18">
        <f>C231*D231</f>
        <v>0</v>
      </c>
      <c r="G231" s="103"/>
      <c r="I231" s="79"/>
      <c r="J231" s="79"/>
    </row>
    <row r="232" spans="1:10" hidden="1" x14ac:dyDescent="0.2">
      <c r="A232" s="16" t="s">
        <v>212</v>
      </c>
      <c r="B232" s="17" t="s">
        <v>19</v>
      </c>
      <c r="C232" s="92">
        <v>25</v>
      </c>
      <c r="D232" s="83">
        <v>1.8</v>
      </c>
      <c r="E232" s="18"/>
      <c r="G232" s="103"/>
      <c r="I232" s="79"/>
      <c r="J232" s="79"/>
    </row>
    <row r="233" spans="1:10" hidden="1" x14ac:dyDescent="0.2">
      <c r="A233" s="16" t="s">
        <v>22</v>
      </c>
      <c r="B233" s="17" t="s">
        <v>18</v>
      </c>
      <c r="C233" s="88">
        <f>C227</f>
        <v>0</v>
      </c>
      <c r="D233" s="241">
        <f>+C232*D232/1000</f>
        <v>4.4999999999999998E-2</v>
      </c>
      <c r="E233" s="18">
        <f>C233*D233</f>
        <v>0</v>
      </c>
      <c r="G233" s="103"/>
      <c r="I233" s="79"/>
      <c r="J233" s="79"/>
    </row>
    <row r="234" spans="1:10" hidden="1" x14ac:dyDescent="0.2">
      <c r="A234" s="16" t="s">
        <v>23</v>
      </c>
      <c r="B234" s="17" t="s">
        <v>24</v>
      </c>
      <c r="C234" s="92">
        <v>2</v>
      </c>
      <c r="D234" s="83">
        <v>8.4499999999999993</v>
      </c>
      <c r="E234" s="18"/>
      <c r="G234" s="103"/>
      <c r="I234" s="79"/>
      <c r="J234" s="79"/>
    </row>
    <row r="235" spans="1:10" hidden="1" x14ac:dyDescent="0.2">
      <c r="A235" s="16" t="s">
        <v>25</v>
      </c>
      <c r="B235" s="17" t="s">
        <v>18</v>
      </c>
      <c r="C235" s="88">
        <f>C227</f>
        <v>0</v>
      </c>
      <c r="D235" s="241">
        <f>+C234*D234/1000</f>
        <v>1.6899999999999998E-2</v>
      </c>
      <c r="E235" s="18">
        <f>C235*D235</f>
        <v>0</v>
      </c>
      <c r="G235" s="103"/>
      <c r="I235" s="79"/>
      <c r="J235" s="79"/>
    </row>
    <row r="236" spans="1:10" ht="13.5" hidden="1" thickBot="1" x14ac:dyDescent="0.25">
      <c r="A236" s="95" t="s">
        <v>231</v>
      </c>
      <c r="B236" s="96" t="s">
        <v>100</v>
      </c>
      <c r="C236" s="242"/>
      <c r="D236" s="243">
        <f>IFERROR(D227+D229+D231+D233+D235,0)</f>
        <v>0.93985200000000002</v>
      </c>
      <c r="E236" s="18"/>
      <c r="G236" s="103"/>
      <c r="I236" s="79"/>
      <c r="J236" s="79"/>
    </row>
    <row r="237" spans="1:10" ht="13.5" hidden="1" thickBot="1" x14ac:dyDescent="0.25">
      <c r="F237" s="21">
        <f>SUM(E226:E235)</f>
        <v>0</v>
      </c>
      <c r="I237" s="79"/>
      <c r="J237" s="79"/>
    </row>
    <row r="238" spans="1:10" ht="11.25" hidden="1" customHeight="1" x14ac:dyDescent="0.2">
      <c r="I238" s="79"/>
      <c r="J238" s="79"/>
    </row>
    <row r="239" spans="1:10" ht="13.5" hidden="1" thickBot="1" x14ac:dyDescent="0.25">
      <c r="A239" s="7" t="s">
        <v>305</v>
      </c>
      <c r="I239" s="79"/>
      <c r="J239" s="79"/>
    </row>
    <row r="240" spans="1:10" ht="13.5" hidden="1" thickBot="1" x14ac:dyDescent="0.25">
      <c r="A240" s="57" t="s">
        <v>53</v>
      </c>
      <c r="B240" s="58" t="s">
        <v>54</v>
      </c>
      <c r="C240" s="58" t="s">
        <v>37</v>
      </c>
      <c r="D240" s="59" t="s">
        <v>209</v>
      </c>
      <c r="E240" s="59" t="s">
        <v>55</v>
      </c>
      <c r="F240" s="60" t="s">
        <v>56</v>
      </c>
      <c r="I240" s="79"/>
      <c r="J240" s="79"/>
    </row>
    <row r="241" spans="1:10" hidden="1" x14ac:dyDescent="0.2">
      <c r="A241" s="279" t="s">
        <v>302</v>
      </c>
      <c r="B241" s="281" t="s">
        <v>287</v>
      </c>
      <c r="C241" s="88"/>
      <c r="D241" s="81">
        <v>45</v>
      </c>
      <c r="E241" s="15">
        <f>C241*D241</f>
        <v>0</v>
      </c>
      <c r="I241" s="79"/>
      <c r="J241" s="79"/>
    </row>
    <row r="242" spans="1:10" ht="13.5" hidden="1" thickBot="1" x14ac:dyDescent="0.25">
      <c r="A242" s="279" t="s">
        <v>304</v>
      </c>
      <c r="B242" s="296" t="s">
        <v>303</v>
      </c>
      <c r="C242" s="88"/>
      <c r="D242" s="83">
        <v>4.9770000000000003</v>
      </c>
      <c r="E242" s="15">
        <f>C242*D242</f>
        <v>0</v>
      </c>
      <c r="I242" s="79"/>
      <c r="J242" s="79"/>
    </row>
    <row r="243" spans="1:10" ht="13.5" hidden="1" thickBot="1" x14ac:dyDescent="0.25">
      <c r="F243" s="21">
        <f>E241+E242</f>
        <v>0</v>
      </c>
      <c r="I243" s="79"/>
      <c r="J243" s="79"/>
    </row>
    <row r="244" spans="1:10" ht="11.25" hidden="1" customHeight="1" x14ac:dyDescent="0.2">
      <c r="I244" s="79"/>
      <c r="J244" s="79"/>
    </row>
    <row r="245" spans="1:10" ht="13.5" thickBot="1" x14ac:dyDescent="0.25">
      <c r="A245" s="7" t="s">
        <v>315</v>
      </c>
      <c r="I245" s="79"/>
      <c r="J245" s="79"/>
    </row>
    <row r="246" spans="1:10" ht="13.5" thickBot="1" x14ac:dyDescent="0.25">
      <c r="A246" s="57" t="s">
        <v>53</v>
      </c>
      <c r="B246" s="58" t="s">
        <v>54</v>
      </c>
      <c r="C246" s="58" t="s">
        <v>37</v>
      </c>
      <c r="D246" s="59" t="s">
        <v>209</v>
      </c>
      <c r="E246" s="59" t="s">
        <v>55</v>
      </c>
      <c r="F246" s="60" t="s">
        <v>56</v>
      </c>
      <c r="I246" s="79"/>
      <c r="J246" s="79"/>
    </row>
    <row r="247" spans="1:10" x14ac:dyDescent="0.2">
      <c r="A247" s="255" t="s">
        <v>288</v>
      </c>
      <c r="B247" s="14" t="s">
        <v>10</v>
      </c>
      <c r="C247" s="89">
        <v>1</v>
      </c>
      <c r="D247" s="81">
        <v>1400</v>
      </c>
      <c r="E247" s="15">
        <f>C247*D247</f>
        <v>1400</v>
      </c>
      <c r="I247" s="79"/>
      <c r="J247" s="79"/>
    </row>
    <row r="248" spans="1:10" ht="26.25" thickBot="1" x14ac:dyDescent="0.25">
      <c r="A248" s="299" t="s">
        <v>326</v>
      </c>
      <c r="B248" s="281" t="s">
        <v>323</v>
      </c>
      <c r="C248" s="89">
        <f>21*2.5</f>
        <v>52.5</v>
      </c>
      <c r="D248" s="81">
        <v>100</v>
      </c>
      <c r="E248" s="15">
        <f>C248*D248</f>
        <v>5250</v>
      </c>
      <c r="I248" s="79"/>
      <c r="J248" s="79"/>
    </row>
    <row r="249" spans="1:10" ht="13.5" thickBot="1" x14ac:dyDescent="0.25">
      <c r="F249" s="21">
        <f>E247+E248</f>
        <v>6650</v>
      </c>
      <c r="I249" s="79"/>
      <c r="J249" s="79"/>
    </row>
    <row r="250" spans="1:10" ht="11.25" hidden="1" customHeight="1" x14ac:dyDescent="0.2">
      <c r="I250" s="79"/>
      <c r="J250" s="79"/>
    </row>
    <row r="251" spans="1:10" ht="11.25" customHeight="1" thickBot="1" x14ac:dyDescent="0.25">
      <c r="G251" s="9"/>
    </row>
    <row r="252" spans="1:10" ht="13.5" thickBot="1" x14ac:dyDescent="0.25">
      <c r="A252" s="24" t="s">
        <v>198</v>
      </c>
      <c r="B252" s="25"/>
      <c r="C252" s="25"/>
      <c r="D252" s="26"/>
      <c r="E252" s="27"/>
      <c r="F252" s="21">
        <f>+SUM(F183:F251)</f>
        <v>6650</v>
      </c>
      <c r="G252" s="9"/>
    </row>
    <row r="253" spans="1:10" ht="11.25" customHeight="1" x14ac:dyDescent="0.2">
      <c r="G253" s="9"/>
    </row>
    <row r="254" spans="1:10" ht="13.5" thickBot="1" x14ac:dyDescent="0.25">
      <c r="A254" s="11" t="s">
        <v>306</v>
      </c>
      <c r="B254" s="11"/>
      <c r="C254" s="11"/>
      <c r="D254" s="34"/>
      <c r="E254" s="34"/>
      <c r="F254" s="33"/>
      <c r="G254" s="9"/>
    </row>
    <row r="255" spans="1:10" ht="13.5" thickBot="1" x14ac:dyDescent="0.25">
      <c r="A255" s="57" t="s">
        <v>53</v>
      </c>
      <c r="B255" s="58" t="s">
        <v>54</v>
      </c>
      <c r="C255" s="58" t="s">
        <v>37</v>
      </c>
      <c r="D255" s="59" t="s">
        <v>209</v>
      </c>
      <c r="E255" s="59" t="s">
        <v>55</v>
      </c>
      <c r="F255" s="60" t="s">
        <v>56</v>
      </c>
      <c r="G255" s="9"/>
    </row>
    <row r="256" spans="1:10" hidden="1" x14ac:dyDescent="0.2">
      <c r="A256" s="279" t="s">
        <v>307</v>
      </c>
      <c r="B256" s="296" t="s">
        <v>309</v>
      </c>
      <c r="C256" s="297">
        <v>0</v>
      </c>
      <c r="D256" s="81">
        <v>6.5</v>
      </c>
      <c r="E256" s="18">
        <f t="shared" ref="E256:E261" si="5">C256*D256</f>
        <v>0</v>
      </c>
      <c r="F256" s="52"/>
      <c r="G256" s="9"/>
    </row>
    <row r="257" spans="1:7" x14ac:dyDescent="0.2">
      <c r="A257" s="279" t="s">
        <v>308</v>
      </c>
      <c r="B257" s="296" t="s">
        <v>310</v>
      </c>
      <c r="C257" s="93">
        <v>1</v>
      </c>
      <c r="D257" s="81">
        <v>25</v>
      </c>
      <c r="E257" s="18">
        <f t="shared" si="5"/>
        <v>25</v>
      </c>
      <c r="F257" s="52"/>
      <c r="G257" s="9"/>
    </row>
    <row r="258" spans="1:7" x14ac:dyDescent="0.2">
      <c r="A258" s="279" t="s">
        <v>311</v>
      </c>
      <c r="B258" s="296" t="s">
        <v>310</v>
      </c>
      <c r="C258" s="93">
        <v>1</v>
      </c>
      <c r="D258" s="81">
        <v>40</v>
      </c>
      <c r="E258" s="18">
        <f t="shared" si="5"/>
        <v>40</v>
      </c>
      <c r="F258" s="52"/>
      <c r="G258" s="9"/>
    </row>
    <row r="259" spans="1:7" x14ac:dyDescent="0.2">
      <c r="A259" s="279" t="s">
        <v>313</v>
      </c>
      <c r="B259" s="17" t="s">
        <v>50</v>
      </c>
      <c r="C259" s="93">
        <v>1</v>
      </c>
      <c r="D259" s="81">
        <v>400</v>
      </c>
      <c r="E259" s="18">
        <f t="shared" si="5"/>
        <v>400</v>
      </c>
      <c r="F259" s="52"/>
      <c r="G259" s="9"/>
    </row>
    <row r="260" spans="1:7" ht="13.5" thickBot="1" x14ac:dyDescent="0.25">
      <c r="A260" s="279" t="s">
        <v>317</v>
      </c>
      <c r="B260" s="51" t="s">
        <v>314</v>
      </c>
      <c r="C260" s="284">
        <v>1</v>
      </c>
      <c r="D260" s="83">
        <v>1300</v>
      </c>
      <c r="E260" s="18">
        <f t="shared" si="5"/>
        <v>1300</v>
      </c>
      <c r="F260" s="52"/>
      <c r="G260" s="9"/>
    </row>
    <row r="261" spans="1:7" ht="13.5" hidden="1" thickBot="1" x14ac:dyDescent="0.25">
      <c r="A261" s="279" t="s">
        <v>318</v>
      </c>
      <c r="B261" s="296" t="s">
        <v>18</v>
      </c>
      <c r="C261" s="93">
        <v>0</v>
      </c>
      <c r="D261" s="81">
        <v>2</v>
      </c>
      <c r="E261" s="18">
        <f t="shared" si="5"/>
        <v>0</v>
      </c>
      <c r="F261" s="52"/>
      <c r="G261" s="9"/>
    </row>
    <row r="262" spans="1:7" ht="13.5" thickBot="1" x14ac:dyDescent="0.25">
      <c r="A262" s="11"/>
      <c r="B262" s="11"/>
      <c r="C262" s="11"/>
      <c r="D262" s="11"/>
      <c r="E262" s="34"/>
      <c r="F262" s="21">
        <f>SUM(E256:E261)</f>
        <v>1765</v>
      </c>
      <c r="G262" s="9"/>
    </row>
    <row r="263" spans="1:7" ht="11.25" customHeight="1" thickBot="1" x14ac:dyDescent="0.25">
      <c r="G263" s="9"/>
    </row>
    <row r="264" spans="1:7" ht="13.5" thickBot="1" x14ac:dyDescent="0.25">
      <c r="A264" s="24" t="s">
        <v>199</v>
      </c>
      <c r="B264" s="25"/>
      <c r="C264" s="25"/>
      <c r="D264" s="26"/>
      <c r="E264" s="27"/>
      <c r="F264" s="21">
        <f>+F262</f>
        <v>1765</v>
      </c>
      <c r="G264" s="9"/>
    </row>
    <row r="265" spans="1:7" ht="11.25" customHeight="1" x14ac:dyDescent="0.2">
      <c r="G265" s="9"/>
    </row>
    <row r="266" spans="1:7" ht="13.5" thickBot="1" x14ac:dyDescent="0.25">
      <c r="A266" s="11" t="s">
        <v>319</v>
      </c>
      <c r="B266" s="11"/>
      <c r="C266" s="11"/>
      <c r="D266" s="34"/>
      <c r="E266" s="34"/>
      <c r="F266" s="33"/>
    </row>
    <row r="267" spans="1:7" ht="13.5" thickBot="1" x14ac:dyDescent="0.25">
      <c r="A267" s="57" t="s">
        <v>53</v>
      </c>
      <c r="B267" s="58" t="s">
        <v>54</v>
      </c>
      <c r="C267" s="58" t="s">
        <v>37</v>
      </c>
      <c r="D267" s="59" t="s">
        <v>209</v>
      </c>
      <c r="E267" s="59" t="s">
        <v>55</v>
      </c>
      <c r="F267" s="60" t="s">
        <v>56</v>
      </c>
    </row>
    <row r="268" spans="1:7" ht="13.5" thickBot="1" x14ac:dyDescent="0.25">
      <c r="A268" s="279" t="s">
        <v>320</v>
      </c>
      <c r="B268" s="51" t="s">
        <v>321</v>
      </c>
      <c r="C268" s="284">
        <v>24</v>
      </c>
      <c r="D268" s="83">
        <v>-1200</v>
      </c>
      <c r="E268" s="18">
        <f>C268*D268</f>
        <v>-28800</v>
      </c>
      <c r="F268" s="52"/>
    </row>
    <row r="269" spans="1:7" ht="13.5" thickBot="1" x14ac:dyDescent="0.25">
      <c r="A269" s="12"/>
      <c r="B269" s="12"/>
      <c r="C269" s="12"/>
      <c r="D269" s="114"/>
      <c r="E269" s="263">
        <v>0</v>
      </c>
      <c r="F269" s="21">
        <f>E268</f>
        <v>-28800</v>
      </c>
    </row>
    <row r="270" spans="1:7" s="50" customFormat="1" ht="11.25" customHeight="1" thickBot="1" x14ac:dyDescent="0.25">
      <c r="A270" s="9"/>
      <c r="B270" s="9"/>
      <c r="C270" s="9"/>
      <c r="D270" s="10"/>
      <c r="E270" s="10"/>
      <c r="F270" s="10"/>
      <c r="G270" s="78"/>
    </row>
    <row r="271" spans="1:7" ht="13.5" thickBot="1" x14ac:dyDescent="0.25">
      <c r="A271" s="24" t="s">
        <v>197</v>
      </c>
      <c r="B271" s="25"/>
      <c r="C271" s="25"/>
      <c r="D271" s="26"/>
      <c r="E271" s="27"/>
      <c r="F271" s="21">
        <f>+F269</f>
        <v>-28800</v>
      </c>
    </row>
    <row r="272" spans="1:7" ht="11.25" customHeight="1" thickBot="1" x14ac:dyDescent="0.25"/>
    <row r="273" spans="1:7" ht="17.25" customHeight="1" thickBot="1" x14ac:dyDescent="0.25">
      <c r="A273" s="24" t="s">
        <v>200</v>
      </c>
      <c r="B273" s="28"/>
      <c r="C273" s="28"/>
      <c r="D273" s="29"/>
      <c r="E273" s="30"/>
      <c r="F273" s="22">
        <f>+F146+F175+F252+F264+F271</f>
        <v>20775.23977694114</v>
      </c>
    </row>
    <row r="274" spans="1:7" ht="11.25" customHeight="1" x14ac:dyDescent="0.2"/>
    <row r="275" spans="1:7" ht="13.5" thickBot="1" x14ac:dyDescent="0.25">
      <c r="A275" s="11" t="s">
        <v>75</v>
      </c>
    </row>
    <row r="276" spans="1:7" ht="13.5" thickBot="1" x14ac:dyDescent="0.25">
      <c r="A276" s="57" t="s">
        <v>53</v>
      </c>
      <c r="B276" s="58" t="s">
        <v>54</v>
      </c>
      <c r="C276" s="58" t="s">
        <v>37</v>
      </c>
      <c r="D276" s="59" t="s">
        <v>209</v>
      </c>
      <c r="E276" s="59" t="s">
        <v>55</v>
      </c>
      <c r="F276" s="60" t="s">
        <v>56</v>
      </c>
    </row>
    <row r="277" spans="1:7" ht="13.5" thickBot="1" x14ac:dyDescent="0.25">
      <c r="A277" s="13" t="s">
        <v>34</v>
      </c>
      <c r="B277" s="14" t="s">
        <v>2</v>
      </c>
      <c r="C277" s="129">
        <f>'5.BDI'!C21*100</f>
        <v>25.77</v>
      </c>
      <c r="D277" s="15">
        <f>+F273</f>
        <v>20775.23977694114</v>
      </c>
      <c r="E277" s="15">
        <f>C277*D277/100</f>
        <v>5353.7792905177312</v>
      </c>
    </row>
    <row r="278" spans="1:7" ht="13.5" thickBot="1" x14ac:dyDescent="0.25">
      <c r="F278" s="21">
        <f>+E277</f>
        <v>5353.7792905177312</v>
      </c>
    </row>
    <row r="279" spans="1:7" ht="11.25" customHeight="1" thickBot="1" x14ac:dyDescent="0.25"/>
    <row r="280" spans="1:7" ht="13.5" thickBot="1" x14ac:dyDescent="0.25">
      <c r="A280" s="24" t="s">
        <v>214</v>
      </c>
      <c r="B280" s="28"/>
      <c r="C280" s="28"/>
      <c r="D280" s="29"/>
      <c r="E280" s="30"/>
      <c r="F280" s="22">
        <f>F278</f>
        <v>5353.7792905177312</v>
      </c>
    </row>
    <row r="281" spans="1:7" x14ac:dyDescent="0.2">
      <c r="A281" s="11"/>
      <c r="B281" s="11"/>
      <c r="C281" s="11"/>
      <c r="D281" s="34"/>
      <c r="E281" s="34"/>
      <c r="F281" s="33"/>
    </row>
    <row r="282" spans="1:7" ht="11.25" customHeight="1" thickBot="1" x14ac:dyDescent="0.25"/>
    <row r="283" spans="1:7" ht="24.75" customHeight="1" thickBot="1" x14ac:dyDescent="0.25">
      <c r="A283" s="24" t="s">
        <v>201</v>
      </c>
      <c r="B283" s="28"/>
      <c r="C283" s="28"/>
      <c r="D283" s="29"/>
      <c r="E283" s="30"/>
      <c r="F283" s="22">
        <f>F273+F280</f>
        <v>26129.01906745887</v>
      </c>
    </row>
    <row r="284" spans="1:7" ht="12.6" customHeight="1" x14ac:dyDescent="0.2">
      <c r="A284" s="53"/>
      <c r="B284" s="53"/>
      <c r="C284" s="53"/>
      <c r="D284" s="54"/>
      <c r="E284" s="54"/>
      <c r="F284" s="54"/>
    </row>
    <row r="285" spans="1:7" ht="14.25" hidden="1" x14ac:dyDescent="0.2">
      <c r="A285" s="8"/>
      <c r="B285" s="8"/>
      <c r="C285" s="8"/>
      <c r="D285" s="35"/>
      <c r="E285" s="35"/>
    </row>
    <row r="286" spans="1:7" ht="16.149999999999999" hidden="1" customHeight="1" x14ac:dyDescent="0.2">
      <c r="A286" s="224" t="s">
        <v>196</v>
      </c>
      <c r="B286" s="225"/>
      <c r="C286" s="225"/>
      <c r="D286" s="226"/>
      <c r="E286" s="227" t="s">
        <v>26</v>
      </c>
      <c r="G286" s="10" t="s">
        <v>180</v>
      </c>
    </row>
    <row r="287" spans="1:7" hidden="1" x14ac:dyDescent="0.2"/>
    <row r="288" spans="1:7" ht="25.5" hidden="1" customHeight="1" thickBot="1" x14ac:dyDescent="0.25">
      <c r="A288" s="24" t="s">
        <v>60</v>
      </c>
      <c r="B288" s="25"/>
      <c r="C288" s="25"/>
      <c r="D288" s="26"/>
      <c r="E288" s="228" t="s">
        <v>30</v>
      </c>
      <c r="F288" s="229" t="str">
        <f>IFERROR(F283/D286,"-")</f>
        <v>-</v>
      </c>
      <c r="G288" s="10" t="s">
        <v>180</v>
      </c>
    </row>
    <row r="289" spans="1:7" ht="12.6" hidden="1" customHeight="1" x14ac:dyDescent="0.2">
      <c r="A289" s="11"/>
      <c r="B289" s="11"/>
      <c r="C289" s="11"/>
      <c r="D289" s="34"/>
      <c r="E289" s="34"/>
      <c r="F289" s="34"/>
    </row>
    <row r="290" spans="1:7" s="4" customFormat="1" ht="9.75" hidden="1" customHeight="1" x14ac:dyDescent="0.2">
      <c r="A290" s="38"/>
      <c r="B290" s="10"/>
      <c r="C290" s="10"/>
      <c r="D290" s="10"/>
      <c r="E290" s="10"/>
      <c r="F290" s="10"/>
      <c r="G290" s="6"/>
    </row>
    <row r="291" spans="1:7" s="4" customFormat="1" ht="9.75" hidden="1" customHeight="1" x14ac:dyDescent="0.2">
      <c r="A291" s="38"/>
      <c r="B291" s="10"/>
      <c r="C291" s="10"/>
      <c r="D291" s="10"/>
      <c r="E291" s="10"/>
      <c r="F291" s="10"/>
      <c r="G291" s="6"/>
    </row>
    <row r="292" spans="1:7" s="4" customFormat="1" ht="9.75" hidden="1" customHeight="1" x14ac:dyDescent="0.2">
      <c r="A292" s="38"/>
      <c r="B292" s="10"/>
      <c r="C292" s="10"/>
      <c r="D292" s="10"/>
      <c r="E292" s="10"/>
      <c r="F292" s="10"/>
      <c r="G292" s="6"/>
    </row>
    <row r="322" s="9" customFormat="1" ht="9" customHeight="1" x14ac:dyDescent="0.2"/>
  </sheetData>
  <mergeCells count="7">
    <mergeCell ref="A48:D48"/>
    <mergeCell ref="A12:F12"/>
    <mergeCell ref="A13:F13"/>
    <mergeCell ref="A15:F15"/>
    <mergeCell ref="A25:C25"/>
    <mergeCell ref="A40:E40"/>
    <mergeCell ref="A41:D41"/>
  </mergeCells>
  <hyperlinks>
    <hyperlink ref="A197" location="AbaRemun" display="3.1.2. Remuneração do Capital" xr:uid="{00000000-0004-0000-0000-000000000000}"/>
    <hyperlink ref="A181" location="AbaDeprec" display="3.1.1. Depreciação" xr:uid="{00000000-0004-0000-0000-000001000000}"/>
  </hyperlinks>
  <pageMargins left="0.9055118110236221" right="0.51181102362204722" top="0.74803149606299213" bottom="0.74803149606299213" header="0.31496062992125984" footer="0.31496062992125984"/>
  <pageSetup paperSize="9" scale="71" fitToHeight="2" orientation="portrait" verticalDpi="300" r:id="rId1"/>
  <headerFooter alignWithMargins="0">
    <oddFooter>&amp;R&amp;P de &amp;N</oddFooter>
  </headerFooter>
  <rowBreaks count="1" manualBreakCount="1">
    <brk id="132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workbookViewId="0">
      <selection activeCell="G4" sqref="G4"/>
    </sheetView>
  </sheetViews>
  <sheetFormatPr defaultColWidth="8.85546875" defaultRowHeight="12.75" x14ac:dyDescent="0.2"/>
  <cols>
    <col min="1" max="1" width="11.42578125" style="287" customWidth="1"/>
    <col min="2" max="2" width="20.85546875" style="287" customWidth="1"/>
    <col min="3" max="3" width="20" style="287" customWidth="1"/>
    <col min="4" max="4" width="8.85546875" style="287"/>
    <col min="5" max="6" width="11.42578125" style="287" bestFit="1" customWidth="1"/>
    <col min="7" max="7" width="10.42578125" style="287" bestFit="1" customWidth="1"/>
    <col min="8" max="16384" width="8.85546875" style="287"/>
  </cols>
  <sheetData>
    <row r="1" spans="1:7" x14ac:dyDescent="0.2">
      <c r="A1" s="286" t="s">
        <v>328</v>
      </c>
    </row>
    <row r="2" spans="1:7" x14ac:dyDescent="0.2">
      <c r="A2" s="286" t="s">
        <v>334</v>
      </c>
    </row>
    <row r="3" spans="1:7" x14ac:dyDescent="0.2">
      <c r="A3" s="288" t="s">
        <v>256</v>
      </c>
      <c r="B3" s="288" t="s">
        <v>291</v>
      </c>
      <c r="C3" s="288" t="s">
        <v>329</v>
      </c>
    </row>
    <row r="4" spans="1:7" ht="25.5" x14ac:dyDescent="0.2">
      <c r="A4" s="289">
        <v>1</v>
      </c>
      <c r="B4" s="300" t="s">
        <v>330</v>
      </c>
      <c r="C4" s="291">
        <f>'1. Triagem'!E37</f>
        <v>26129.01906745887</v>
      </c>
      <c r="G4" s="287" t="s">
        <v>112</v>
      </c>
    </row>
    <row r="5" spans="1:7" hidden="1" x14ac:dyDescent="0.2">
      <c r="A5" s="289"/>
      <c r="B5" s="290"/>
      <c r="C5" s="291">
        <v>0</v>
      </c>
    </row>
    <row r="6" spans="1:7" x14ac:dyDescent="0.2">
      <c r="A6" s="289"/>
      <c r="B6" s="290"/>
      <c r="C6" s="291"/>
    </row>
    <row r="7" spans="1:7" x14ac:dyDescent="0.2">
      <c r="A7" s="292" t="s">
        <v>292</v>
      </c>
      <c r="B7" s="292"/>
      <c r="C7" s="293">
        <f>SUM(C4:C6)</f>
        <v>26129.01906745887</v>
      </c>
    </row>
    <row r="8" spans="1:7" x14ac:dyDescent="0.2">
      <c r="C8" s="287" t="s">
        <v>112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workbookViewId="0"/>
  </sheetViews>
  <sheetFormatPr defaultColWidth="9.140625" defaultRowHeight="12.75" x14ac:dyDescent="0.2"/>
  <cols>
    <col min="1" max="1" width="13.5703125" style="1" customWidth="1"/>
    <col min="2" max="2" width="39.5703125" style="1" bestFit="1" customWidth="1"/>
    <col min="3" max="3" width="20.85546875" style="1" customWidth="1"/>
    <col min="4" max="4" width="37.28515625" style="1" customWidth="1"/>
    <col min="5" max="10" width="9.140625" style="1"/>
    <col min="11" max="11" width="11" style="1" bestFit="1" customWidth="1"/>
    <col min="12" max="16384" width="9.140625" style="1"/>
  </cols>
  <sheetData>
    <row r="1" spans="1:7" x14ac:dyDescent="0.2">
      <c r="A1" s="11" t="s">
        <v>178</v>
      </c>
    </row>
    <row r="2" spans="1:7" x14ac:dyDescent="0.2">
      <c r="A2" s="128" t="s">
        <v>221</v>
      </c>
    </row>
    <row r="3" spans="1:7" s="4" customFormat="1" ht="15.6" customHeight="1" x14ac:dyDescent="0.2">
      <c r="B3" s="5"/>
      <c r="C3" s="5"/>
      <c r="D3" s="5"/>
      <c r="E3" s="5"/>
      <c r="F3" s="5"/>
      <c r="G3" s="6"/>
    </row>
    <row r="4" spans="1:7" s="4" customFormat="1" ht="15.6" hidden="1" customHeight="1" x14ac:dyDescent="0.2">
      <c r="A4" s="253" t="s">
        <v>245</v>
      </c>
      <c r="B4" s="5"/>
      <c r="C4" s="5"/>
      <c r="D4" s="5"/>
      <c r="E4" s="5"/>
      <c r="F4" s="5"/>
      <c r="G4" s="6"/>
    </row>
    <row r="5" spans="1:7" s="4" customFormat="1" ht="16.5" customHeight="1" x14ac:dyDescent="0.2">
      <c r="A5" s="283" t="s">
        <v>254</v>
      </c>
      <c r="B5" s="5"/>
      <c r="C5" s="5"/>
      <c r="D5" s="6"/>
      <c r="E5" s="6"/>
      <c r="F5" s="6"/>
      <c r="G5" s="6"/>
    </row>
    <row r="6" spans="1:7" s="4" customFormat="1" ht="16.5" customHeight="1" x14ac:dyDescent="0.2">
      <c r="A6" s="283" t="s">
        <v>255</v>
      </c>
      <c r="B6" s="5"/>
      <c r="C6" s="5"/>
      <c r="D6" s="6"/>
      <c r="E6" s="6"/>
      <c r="F6" s="6"/>
      <c r="G6" s="6"/>
    </row>
    <row r="7" spans="1:7" ht="13.5" thickBot="1" x14ac:dyDescent="0.25"/>
    <row r="8" spans="1:7" ht="18" x14ac:dyDescent="0.2">
      <c r="A8" s="317" t="s">
        <v>204</v>
      </c>
      <c r="B8" s="318"/>
      <c r="C8" s="319"/>
      <c r="D8" s="136"/>
      <c r="E8" s="136"/>
      <c r="F8" s="136"/>
    </row>
    <row r="9" spans="1:7" ht="14.25" x14ac:dyDescent="0.2">
      <c r="A9" s="148" t="s">
        <v>118</v>
      </c>
      <c r="B9" s="149" t="s">
        <v>119</v>
      </c>
      <c r="C9" s="150" t="s">
        <v>120</v>
      </c>
      <c r="D9" s="151"/>
    </row>
    <row r="10" spans="1:7" ht="14.25" x14ac:dyDescent="0.2">
      <c r="A10" s="148" t="s">
        <v>121</v>
      </c>
      <c r="B10" s="149" t="s">
        <v>38</v>
      </c>
      <c r="C10" s="152">
        <v>0.2</v>
      </c>
      <c r="D10" s="151"/>
    </row>
    <row r="11" spans="1:7" ht="14.25" x14ac:dyDescent="0.2">
      <c r="A11" s="148" t="s">
        <v>122</v>
      </c>
      <c r="B11" s="149" t="s">
        <v>123</v>
      </c>
      <c r="C11" s="152">
        <v>1.4999999999999999E-2</v>
      </c>
      <c r="D11" s="151"/>
    </row>
    <row r="12" spans="1:7" ht="14.25" x14ac:dyDescent="0.2">
      <c r="A12" s="148" t="s">
        <v>124</v>
      </c>
      <c r="B12" s="149" t="s">
        <v>125</v>
      </c>
      <c r="C12" s="152">
        <v>0.01</v>
      </c>
      <c r="D12" s="151"/>
    </row>
    <row r="13" spans="1:7" ht="14.25" x14ac:dyDescent="0.2">
      <c r="A13" s="148" t="s">
        <v>126</v>
      </c>
      <c r="B13" s="149" t="s">
        <v>127</v>
      </c>
      <c r="C13" s="152">
        <v>2E-3</v>
      </c>
      <c r="D13" s="151"/>
    </row>
    <row r="14" spans="1:7" ht="14.25" x14ac:dyDescent="0.2">
      <c r="A14" s="148" t="s">
        <v>128</v>
      </c>
      <c r="B14" s="149" t="s">
        <v>129</v>
      </c>
      <c r="C14" s="152">
        <v>6.0000000000000001E-3</v>
      </c>
      <c r="D14" s="151"/>
    </row>
    <row r="15" spans="1:7" ht="14.25" x14ac:dyDescent="0.2">
      <c r="A15" s="148" t="s">
        <v>130</v>
      </c>
      <c r="B15" s="149" t="s">
        <v>131</v>
      </c>
      <c r="C15" s="152">
        <v>2.5000000000000001E-2</v>
      </c>
      <c r="D15" s="151"/>
    </row>
    <row r="16" spans="1:7" ht="14.25" x14ac:dyDescent="0.2">
      <c r="A16" s="148" t="s">
        <v>132</v>
      </c>
      <c r="B16" s="149" t="s">
        <v>133</v>
      </c>
      <c r="C16" s="152">
        <v>0.03</v>
      </c>
      <c r="D16" s="151"/>
    </row>
    <row r="17" spans="1:8" ht="14.25" x14ac:dyDescent="0.2">
      <c r="A17" s="148" t="s">
        <v>134</v>
      </c>
      <c r="B17" s="149" t="s">
        <v>39</v>
      </c>
      <c r="C17" s="152">
        <v>0.08</v>
      </c>
      <c r="D17" s="151"/>
    </row>
    <row r="18" spans="1:8" ht="15" x14ac:dyDescent="0.2">
      <c r="A18" s="148" t="s">
        <v>135</v>
      </c>
      <c r="B18" s="153" t="s">
        <v>136</v>
      </c>
      <c r="C18" s="154">
        <f>SUM(C10:C17)</f>
        <v>0.36800000000000005</v>
      </c>
      <c r="D18" s="151"/>
    </row>
    <row r="19" spans="1:8" ht="15" x14ac:dyDescent="0.2">
      <c r="A19" s="155"/>
      <c r="B19" s="156"/>
      <c r="C19" s="157"/>
      <c r="D19" s="151"/>
    </row>
    <row r="20" spans="1:8" ht="14.25" x14ac:dyDescent="0.2">
      <c r="A20" s="148" t="s">
        <v>137</v>
      </c>
      <c r="B20" s="158" t="s">
        <v>138</v>
      </c>
      <c r="C20" s="152">
        <f>ROUND(IF('4.CAGED'!C32&gt;24,(1-12/'4.CAGED'!C32)*0.1111,0.1111-C29),4)</f>
        <v>6.5699999999999995E-2</v>
      </c>
      <c r="D20" s="151"/>
    </row>
    <row r="21" spans="1:8" ht="14.25" x14ac:dyDescent="0.2">
      <c r="A21" s="148" t="s">
        <v>139</v>
      </c>
      <c r="B21" s="158" t="s">
        <v>140</v>
      </c>
      <c r="C21" s="152">
        <f>ROUND('4.CAGED'!C36/'4.CAGED'!C33,4)</f>
        <v>8.3299999999999999E-2</v>
      </c>
      <c r="D21" s="151"/>
    </row>
    <row r="22" spans="1:8" ht="14.25" x14ac:dyDescent="0.2">
      <c r="A22" s="148" t="s">
        <v>195</v>
      </c>
      <c r="B22" s="158" t="s">
        <v>142</v>
      </c>
      <c r="C22" s="152">
        <v>5.9999999999999995E-4</v>
      </c>
      <c r="D22" s="151"/>
    </row>
    <row r="23" spans="1:8" ht="14.25" x14ac:dyDescent="0.2">
      <c r="A23" s="148" t="s">
        <v>141</v>
      </c>
      <c r="B23" s="158" t="s">
        <v>144</v>
      </c>
      <c r="C23" s="152">
        <v>8.2000000000000007E-3</v>
      </c>
      <c r="D23" s="151"/>
    </row>
    <row r="24" spans="1:8" ht="14.25" x14ac:dyDescent="0.2">
      <c r="A24" s="148" t="s">
        <v>143</v>
      </c>
      <c r="B24" s="158" t="s">
        <v>146</v>
      </c>
      <c r="C24" s="152">
        <v>3.0999999999999999E-3</v>
      </c>
      <c r="D24" s="151"/>
    </row>
    <row r="25" spans="1:8" ht="14.25" x14ac:dyDescent="0.2">
      <c r="A25" s="148" t="s">
        <v>145</v>
      </c>
      <c r="B25" s="158" t="s">
        <v>147</v>
      </c>
      <c r="C25" s="152">
        <v>1.66E-2</v>
      </c>
      <c r="D25" s="151"/>
    </row>
    <row r="26" spans="1:8" ht="15" x14ac:dyDescent="0.2">
      <c r="A26" s="148" t="s">
        <v>148</v>
      </c>
      <c r="B26" s="153" t="s">
        <v>149</v>
      </c>
      <c r="C26" s="154">
        <f>SUM(C20:C25)</f>
        <v>0.17749999999999999</v>
      </c>
      <c r="D26" s="159"/>
    </row>
    <row r="27" spans="1:8" ht="15" x14ac:dyDescent="0.2">
      <c r="A27" s="155"/>
      <c r="B27" s="156"/>
      <c r="C27" s="157"/>
      <c r="D27" s="159"/>
    </row>
    <row r="28" spans="1:8" ht="14.25" x14ac:dyDescent="0.2">
      <c r="A28" s="148" t="s">
        <v>150</v>
      </c>
      <c r="B28" s="149" t="s">
        <v>151</v>
      </c>
      <c r="C28" s="152">
        <f>ROUND(('4.CAGED'!C37) *'4.CAGED'!C30/'4.CAGED'!C33,4)</f>
        <v>2.9000000000000001E-2</v>
      </c>
      <c r="D28" s="151"/>
      <c r="E28" s="160"/>
    </row>
    <row r="29" spans="1:8" ht="14.25" x14ac:dyDescent="0.2">
      <c r="A29" s="148" t="s">
        <v>194</v>
      </c>
      <c r="B29" s="149" t="s">
        <v>153</v>
      </c>
      <c r="C29" s="152">
        <f>ROUND(IF('4.CAGED'!C32&gt;12,12/'4.CAGED'!C32*0.1111,0.1111),4)</f>
        <v>4.5400000000000003E-2</v>
      </c>
      <c r="D29" s="151"/>
      <c r="H29" s="161"/>
    </row>
    <row r="30" spans="1:8" ht="14.25" x14ac:dyDescent="0.2">
      <c r="A30" s="148" t="s">
        <v>152</v>
      </c>
      <c r="B30" s="149" t="s">
        <v>155</v>
      </c>
      <c r="C30" s="152">
        <f>C28*C29</f>
        <v>1.3166000000000002E-3</v>
      </c>
      <c r="D30" s="151"/>
      <c r="E30" s="160"/>
    </row>
    <row r="31" spans="1:8" ht="14.25" x14ac:dyDescent="0.2">
      <c r="A31" s="148" t="s">
        <v>154</v>
      </c>
      <c r="B31" s="149" t="s">
        <v>157</v>
      </c>
      <c r="C31" s="152">
        <f>ROUND(('4.CAGED'!C33+'4.CAGED'!C34+'4.CAGED'!C36)/'4.CAGED'!C31*'4.CAGED'!C38*'4.CAGED'!C39*'4.CAGED'!C30/'4.CAGED'!C33,4)</f>
        <v>2.52E-2</v>
      </c>
      <c r="D31" s="151"/>
      <c r="G31" s="160"/>
    </row>
    <row r="32" spans="1:8" ht="14.25" x14ac:dyDescent="0.2">
      <c r="A32" s="148" t="s">
        <v>156</v>
      </c>
      <c r="B32" s="149" t="s">
        <v>158</v>
      </c>
      <c r="C32" s="152">
        <f>ROUND(('4.CAGED'!C35/'4.CAGED'!C33)*'4.CAGED'!C30/12,4)</f>
        <v>2E-3</v>
      </c>
      <c r="D32" s="151"/>
    </row>
    <row r="33" spans="1:4" ht="15" x14ac:dyDescent="0.2">
      <c r="A33" s="148" t="s">
        <v>159</v>
      </c>
      <c r="B33" s="153" t="s">
        <v>160</v>
      </c>
      <c r="C33" s="154">
        <f>SUM(C28:C32)</f>
        <v>0.10291660000000001</v>
      </c>
      <c r="D33" s="159"/>
    </row>
    <row r="34" spans="1:4" ht="15" x14ac:dyDescent="0.2">
      <c r="A34" s="155"/>
      <c r="B34" s="156"/>
      <c r="C34" s="157"/>
      <c r="D34" s="159"/>
    </row>
    <row r="35" spans="1:4" ht="14.25" x14ac:dyDescent="0.2">
      <c r="A35" s="148" t="s">
        <v>161</v>
      </c>
      <c r="B35" s="149" t="s">
        <v>162</v>
      </c>
      <c r="C35" s="152">
        <f>ROUND(C18*C26,4)</f>
        <v>6.5299999999999997E-2</v>
      </c>
      <c r="D35" s="151"/>
    </row>
    <row r="36" spans="1:4" ht="28.5" x14ac:dyDescent="0.2">
      <c r="A36" s="148" t="s">
        <v>163</v>
      </c>
      <c r="B36" s="162" t="s">
        <v>241</v>
      </c>
      <c r="C36" s="152">
        <f>ROUND((C28*C17),4)</f>
        <v>2.3E-3</v>
      </c>
      <c r="D36" s="151"/>
    </row>
    <row r="37" spans="1:4" ht="15" x14ac:dyDescent="0.2">
      <c r="A37" s="148" t="s">
        <v>164</v>
      </c>
      <c r="B37" s="153" t="s">
        <v>165</v>
      </c>
      <c r="C37" s="154">
        <f>SUM(C35:C36)</f>
        <v>6.7599999999999993E-2</v>
      </c>
      <c r="D37" s="159"/>
    </row>
    <row r="38" spans="1:4" ht="15.75" thickBot="1" x14ac:dyDescent="0.25">
      <c r="A38" s="163"/>
      <c r="B38" s="164" t="s">
        <v>166</v>
      </c>
      <c r="C38" s="165">
        <f>C37+C33+C26+C18</f>
        <v>0.71601660000000011</v>
      </c>
      <c r="D38" s="159"/>
    </row>
    <row r="39" spans="1:4" ht="15" x14ac:dyDescent="0.2">
      <c r="A39" s="151"/>
      <c r="B39" s="166"/>
      <c r="C39" s="167"/>
      <c r="D39" s="168"/>
    </row>
    <row r="40" spans="1:4" ht="14.25" x14ac:dyDescent="0.2">
      <c r="A40" s="151"/>
      <c r="B40" s="151"/>
      <c r="C40" s="169"/>
      <c r="D40" s="170"/>
    </row>
    <row r="41" spans="1:4" ht="14.25" x14ac:dyDescent="0.2">
      <c r="A41" s="151"/>
      <c r="B41" s="151"/>
      <c r="C41" s="169"/>
      <c r="D41" s="151"/>
    </row>
    <row r="42" spans="1:4" ht="14.25" x14ac:dyDescent="0.2">
      <c r="A42" s="151"/>
      <c r="B42" s="151"/>
      <c r="C42" s="169"/>
      <c r="D42" s="151"/>
    </row>
    <row r="43" spans="1:4" ht="14.25" x14ac:dyDescent="0.2">
      <c r="A43" s="151"/>
      <c r="B43" s="151"/>
      <c r="C43" s="169"/>
      <c r="D43" s="151"/>
    </row>
    <row r="44" spans="1:4" ht="15" x14ac:dyDescent="0.2">
      <c r="A44" s="151"/>
      <c r="B44" s="166"/>
      <c r="C44" s="167"/>
      <c r="D44" s="151"/>
    </row>
    <row r="45" spans="1:4" ht="15" x14ac:dyDescent="0.2">
      <c r="A45" s="159"/>
      <c r="B45" s="166"/>
      <c r="C45" s="167"/>
      <c r="D45" s="159"/>
    </row>
    <row r="46" spans="1:4" ht="16.5" x14ac:dyDescent="0.2">
      <c r="A46" s="171"/>
    </row>
    <row r="47" spans="1:4" x14ac:dyDescent="0.2">
      <c r="A47" s="172"/>
      <c r="B47" s="173"/>
      <c r="C47" s="173"/>
    </row>
    <row r="48" spans="1:4" ht="14.25" x14ac:dyDescent="0.2">
      <c r="A48" s="151"/>
      <c r="B48" s="174"/>
      <c r="C48" s="173"/>
    </row>
    <row r="49" spans="1:3" ht="14.25" x14ac:dyDescent="0.2">
      <c r="A49" s="151"/>
      <c r="B49" s="174"/>
      <c r="C49" s="151"/>
    </row>
    <row r="50" spans="1:3" ht="14.25" x14ac:dyDescent="0.2">
      <c r="A50" s="151"/>
      <c r="B50" s="169"/>
      <c r="C50" s="173"/>
    </row>
    <row r="51" spans="1:3" ht="14.25" x14ac:dyDescent="0.2">
      <c r="A51" s="151"/>
      <c r="B51" s="174"/>
      <c r="C51" s="151"/>
    </row>
    <row r="52" spans="1:3" ht="14.25" x14ac:dyDescent="0.2">
      <c r="A52" s="151"/>
      <c r="B52" s="169"/>
      <c r="C52" s="173"/>
    </row>
    <row r="53" spans="1:3" ht="14.25" x14ac:dyDescent="0.2">
      <c r="A53" s="151"/>
      <c r="B53" s="174"/>
      <c r="C53" s="151"/>
    </row>
    <row r="54" spans="1:3" ht="14.25" x14ac:dyDescent="0.2">
      <c r="A54" s="151"/>
      <c r="B54" s="169"/>
      <c r="C54" s="173"/>
    </row>
    <row r="55" spans="1:3" ht="14.25" x14ac:dyDescent="0.2">
      <c r="A55" s="151"/>
      <c r="B55" s="174"/>
      <c r="C55" s="151"/>
    </row>
    <row r="56" spans="1:3" ht="14.25" x14ac:dyDescent="0.2">
      <c r="A56" s="151"/>
      <c r="B56" s="169"/>
      <c r="C56" s="173"/>
    </row>
    <row r="57" spans="1:3" ht="16.5" x14ac:dyDescent="0.2">
      <c r="A57" s="171"/>
    </row>
    <row r="60" spans="1:3" x14ac:dyDescent="0.2">
      <c r="A60" s="175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9"/>
  <sheetViews>
    <sheetView workbookViewId="0"/>
  </sheetViews>
  <sheetFormatPr defaultColWidth="9.140625" defaultRowHeight="12.75" x14ac:dyDescent="0.2"/>
  <cols>
    <col min="1" max="1" width="8.5703125" style="1" customWidth="1"/>
    <col min="2" max="2" width="67.140625" style="1" customWidth="1"/>
    <col min="3" max="3" width="13.7109375" style="1" customWidth="1"/>
    <col min="4" max="4" width="10.28515625" style="1" customWidth="1"/>
    <col min="5" max="5" width="13.7109375" style="1" customWidth="1"/>
    <col min="6" max="16384" width="9.140625" style="1"/>
  </cols>
  <sheetData>
    <row r="1" spans="1:3" x14ac:dyDescent="0.2">
      <c r="A1" s="99" t="s">
        <v>215</v>
      </c>
    </row>
    <row r="3" spans="1:3" x14ac:dyDescent="0.2">
      <c r="A3" s="1" t="s">
        <v>184</v>
      </c>
    </row>
    <row r="4" spans="1:3" x14ac:dyDescent="0.2">
      <c r="A4" s="246" t="s">
        <v>181</v>
      </c>
    </row>
    <row r="5" spans="1:3" ht="25.5" customHeight="1" x14ac:dyDescent="0.2">
      <c r="A5" s="322" t="s">
        <v>229</v>
      </c>
      <c r="B5" s="323"/>
      <c r="C5" s="323"/>
    </row>
    <row r="6" spans="1:3" x14ac:dyDescent="0.2">
      <c r="A6" s="1" t="s">
        <v>182</v>
      </c>
    </row>
    <row r="7" spans="1:3" ht="26.25" customHeight="1" x14ac:dyDescent="0.2">
      <c r="A7" s="322" t="s">
        <v>336</v>
      </c>
      <c r="B7" s="323"/>
      <c r="C7" s="323"/>
    </row>
    <row r="8" spans="1:3" x14ac:dyDescent="0.2">
      <c r="A8" s="1" t="s">
        <v>183</v>
      </c>
    </row>
    <row r="9" spans="1:3" x14ac:dyDescent="0.2">
      <c r="A9" s="254" t="s">
        <v>216</v>
      </c>
    </row>
    <row r="10" spans="1:3" ht="13.5" thickBot="1" x14ac:dyDescent="0.25"/>
    <row r="11" spans="1:3" ht="18" x14ac:dyDescent="0.25">
      <c r="B11" s="320" t="s">
        <v>202</v>
      </c>
      <c r="C11" s="321"/>
    </row>
    <row r="12" spans="1:3" ht="15" x14ac:dyDescent="0.25">
      <c r="B12" s="141" t="s">
        <v>337</v>
      </c>
      <c r="C12" s="176"/>
    </row>
    <row r="13" spans="1:3" ht="15" x14ac:dyDescent="0.25">
      <c r="B13" s="142" t="s">
        <v>102</v>
      </c>
      <c r="C13" s="143">
        <v>1932</v>
      </c>
    </row>
    <row r="14" spans="1:3" ht="15" x14ac:dyDescent="0.25">
      <c r="B14" s="144" t="s">
        <v>103</v>
      </c>
      <c r="C14" s="143">
        <v>2197</v>
      </c>
    </row>
    <row r="15" spans="1:3" ht="14.25" x14ac:dyDescent="0.2">
      <c r="B15" s="177" t="s">
        <v>104</v>
      </c>
      <c r="C15" s="178">
        <v>25</v>
      </c>
    </row>
    <row r="16" spans="1:3" ht="14.25" x14ac:dyDescent="0.2">
      <c r="B16" s="177" t="s">
        <v>105</v>
      </c>
      <c r="C16" s="178">
        <v>1463</v>
      </c>
    </row>
    <row r="17" spans="1:5" ht="14.25" x14ac:dyDescent="0.2">
      <c r="B17" s="177" t="s">
        <v>106</v>
      </c>
      <c r="C17" s="178">
        <v>321</v>
      </c>
    </row>
    <row r="18" spans="1:5" ht="14.25" x14ac:dyDescent="0.2">
      <c r="B18" s="177" t="s">
        <v>107</v>
      </c>
      <c r="C18" s="178">
        <v>12</v>
      </c>
    </row>
    <row r="19" spans="1:5" ht="14.25" x14ac:dyDescent="0.2">
      <c r="B19" s="177" t="s">
        <v>108</v>
      </c>
      <c r="C19" s="178">
        <v>339</v>
      </c>
    </row>
    <row r="20" spans="1:5" ht="14.25" x14ac:dyDescent="0.2">
      <c r="B20" s="177" t="s">
        <v>109</v>
      </c>
      <c r="C20" s="178">
        <v>0</v>
      </c>
    </row>
    <row r="21" spans="1:5" ht="14.25" x14ac:dyDescent="0.2">
      <c r="B21" s="177" t="s">
        <v>110</v>
      </c>
      <c r="C21" s="178">
        <v>22</v>
      </c>
    </row>
    <row r="22" spans="1:5" ht="14.25" x14ac:dyDescent="0.2">
      <c r="B22" s="179" t="s">
        <v>111</v>
      </c>
      <c r="C22" s="180">
        <v>0</v>
      </c>
    </row>
    <row r="23" spans="1:5" ht="14.25" x14ac:dyDescent="0.2">
      <c r="B23" s="260" t="s">
        <v>248</v>
      </c>
      <c r="C23" s="180">
        <v>0</v>
      </c>
    </row>
    <row r="24" spans="1:5" ht="15" x14ac:dyDescent="0.25">
      <c r="A24" s="1" t="s">
        <v>112</v>
      </c>
      <c r="B24" s="141" t="s">
        <v>113</v>
      </c>
      <c r="C24" s="176"/>
    </row>
    <row r="25" spans="1:5" ht="14.25" x14ac:dyDescent="0.2">
      <c r="B25" s="181" t="s">
        <v>249</v>
      </c>
      <c r="C25" s="182">
        <v>5183</v>
      </c>
    </row>
    <row r="26" spans="1:5" ht="14.25" x14ac:dyDescent="0.2">
      <c r="B26" s="177" t="s">
        <v>250</v>
      </c>
      <c r="C26" s="178">
        <v>4918</v>
      </c>
    </row>
    <row r="27" spans="1:5" ht="14.25" x14ac:dyDescent="0.2">
      <c r="B27" s="177" t="s">
        <v>251</v>
      </c>
      <c r="C27" s="200">
        <f>C13-C14</f>
        <v>-265</v>
      </c>
    </row>
    <row r="28" spans="1:5" ht="14.25" x14ac:dyDescent="0.2">
      <c r="B28" s="183"/>
      <c r="C28" s="184"/>
    </row>
    <row r="29" spans="1:5" s="99" customFormat="1" ht="15" x14ac:dyDescent="0.25">
      <c r="B29" s="142" t="s">
        <v>115</v>
      </c>
      <c r="C29" s="185">
        <f>MEDIAN(C25,C26)</f>
        <v>5050.5</v>
      </c>
    </row>
    <row r="30" spans="1:5" ht="15" x14ac:dyDescent="0.25">
      <c r="B30" s="144" t="s">
        <v>246</v>
      </c>
      <c r="C30" s="258">
        <f>C16/C29</f>
        <v>0.28967428967428965</v>
      </c>
    </row>
    <row r="31" spans="1:5" ht="15" x14ac:dyDescent="0.25">
      <c r="B31" s="144" t="s">
        <v>247</v>
      </c>
      <c r="C31" s="258">
        <f>MEDIAN(C13,C14)/C29</f>
        <v>0.40877140877140877</v>
      </c>
      <c r="E31" s="246"/>
    </row>
    <row r="32" spans="1:5" s="99" customFormat="1" ht="15" x14ac:dyDescent="0.25">
      <c r="B32" s="144" t="s">
        <v>222</v>
      </c>
      <c r="C32" s="256">
        <f>12/C31</f>
        <v>29.356260595785905</v>
      </c>
    </row>
    <row r="33" spans="2:3" ht="15" x14ac:dyDescent="0.25">
      <c r="B33" s="144" t="s">
        <v>114</v>
      </c>
      <c r="C33" s="146">
        <v>360</v>
      </c>
    </row>
    <row r="34" spans="2:3" ht="15" x14ac:dyDescent="0.25">
      <c r="B34" s="144" t="s">
        <v>217</v>
      </c>
      <c r="C34" s="146">
        <v>10</v>
      </c>
    </row>
    <row r="35" spans="2:3" ht="15" x14ac:dyDescent="0.25">
      <c r="B35" s="142" t="s">
        <v>218</v>
      </c>
      <c r="C35" s="145">
        <v>30</v>
      </c>
    </row>
    <row r="36" spans="2:3" ht="15" x14ac:dyDescent="0.25">
      <c r="B36" s="142" t="s">
        <v>219</v>
      </c>
      <c r="C36" s="145">
        <v>30</v>
      </c>
    </row>
    <row r="37" spans="2:3" s="99" customFormat="1" ht="15" x14ac:dyDescent="0.25">
      <c r="B37" s="142" t="s">
        <v>117</v>
      </c>
      <c r="C37" s="145">
        <f>30+(3*TRUNC(1/C31))</f>
        <v>36</v>
      </c>
    </row>
    <row r="38" spans="2:3" s="99" customFormat="1" ht="15" x14ac:dyDescent="0.25">
      <c r="B38" s="144" t="s">
        <v>39</v>
      </c>
      <c r="C38" s="257">
        <v>0.08</v>
      </c>
    </row>
    <row r="39" spans="2:3" s="99" customFormat="1" ht="15.75" thickBot="1" x14ac:dyDescent="0.3">
      <c r="B39" s="147" t="s">
        <v>116</v>
      </c>
      <c r="C39" s="259">
        <v>0.4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workbookViewId="0">
      <selection activeCell="E17" sqref="E17"/>
    </sheetView>
  </sheetViews>
  <sheetFormatPr defaultRowHeight="12.75" x14ac:dyDescent="0.2"/>
  <cols>
    <col min="1" max="1" width="41.85546875" bestFit="1" customWidth="1"/>
    <col min="2" max="2" width="5.5703125" bestFit="1" customWidth="1"/>
    <col min="4" max="4" width="9.7109375" bestFit="1" customWidth="1"/>
    <col min="5" max="5" width="8" style="113" bestFit="1" customWidth="1"/>
    <col min="6" max="6" width="9.7109375" bestFit="1" customWidth="1"/>
  </cols>
  <sheetData>
    <row r="1" spans="1:8" s="133" customFormat="1" ht="14.25" x14ac:dyDescent="0.2">
      <c r="A1" s="11" t="s">
        <v>178</v>
      </c>
      <c r="B1" s="8"/>
      <c r="C1" s="8"/>
      <c r="E1" s="134"/>
    </row>
    <row r="2" spans="1:8" s="133" customFormat="1" ht="14.25" x14ac:dyDescent="0.2">
      <c r="A2" s="128" t="s">
        <v>223</v>
      </c>
      <c r="B2" s="8"/>
      <c r="C2" s="8"/>
      <c r="E2" s="134"/>
    </row>
    <row r="3" spans="1:8" s="133" customFormat="1" ht="14.25" x14ac:dyDescent="0.2">
      <c r="A3" s="9" t="s">
        <v>179</v>
      </c>
      <c r="B3" s="8"/>
      <c r="C3" s="8"/>
      <c r="E3" s="134"/>
    </row>
    <row r="4" spans="1:8" s="133" customFormat="1" ht="14.25" x14ac:dyDescent="0.2">
      <c r="A4" s="9"/>
      <c r="B4" s="8"/>
      <c r="C4" s="8"/>
      <c r="E4" s="134"/>
    </row>
    <row r="5" spans="1:8" s="4" customFormat="1" ht="15.6" hidden="1" customHeight="1" x14ac:dyDescent="0.2">
      <c r="A5" s="253" t="s">
        <v>245</v>
      </c>
      <c r="B5" s="5"/>
      <c r="C5" s="5"/>
      <c r="D5" s="5"/>
      <c r="E5" s="5"/>
      <c r="F5" s="5"/>
      <c r="G5" s="6"/>
    </row>
    <row r="6" spans="1:8" s="4" customFormat="1" ht="16.5" customHeight="1" x14ac:dyDescent="0.2">
      <c r="A6" s="283" t="s">
        <v>252</v>
      </c>
      <c r="B6" s="5"/>
      <c r="C6" s="5"/>
      <c r="D6" s="6"/>
      <c r="E6" s="6"/>
      <c r="F6" s="6"/>
      <c r="G6" s="6"/>
    </row>
    <row r="7" spans="1:8" s="4" customFormat="1" ht="16.5" customHeight="1" x14ac:dyDescent="0.2">
      <c r="A7" s="283" t="s">
        <v>253</v>
      </c>
      <c r="B7" s="5"/>
      <c r="C7" s="5"/>
      <c r="D7" s="6"/>
      <c r="E7" s="6"/>
      <c r="F7" s="6"/>
      <c r="G7" s="6"/>
    </row>
    <row r="8" spans="1:8" s="133" customFormat="1" ht="15" thickBot="1" x14ac:dyDescent="0.25">
      <c r="B8" s="8"/>
      <c r="C8" s="8"/>
      <c r="E8" s="134"/>
    </row>
    <row r="9" spans="1:8" ht="15.75" x14ac:dyDescent="0.2">
      <c r="A9" s="329" t="s">
        <v>203</v>
      </c>
      <c r="B9" s="330"/>
      <c r="C9" s="330"/>
      <c r="D9" s="330"/>
      <c r="E9" s="330"/>
      <c r="F9" s="331"/>
    </row>
    <row r="10" spans="1:8" ht="16.5" thickBot="1" x14ac:dyDescent="0.25">
      <c r="A10" s="235"/>
      <c r="B10" s="236"/>
      <c r="C10" s="236"/>
      <c r="D10" s="236"/>
      <c r="E10" s="236"/>
      <c r="F10" s="237"/>
    </row>
    <row r="11" spans="1:8" ht="15" x14ac:dyDescent="0.25">
      <c r="A11" s="186"/>
      <c r="B11" s="8"/>
      <c r="C11" s="8"/>
      <c r="D11" s="326" t="s">
        <v>220</v>
      </c>
      <c r="E11" s="327"/>
      <c r="F11" s="328"/>
      <c r="G11" s="133"/>
      <c r="H11" s="133"/>
    </row>
    <row r="12" spans="1:8" ht="15" thickBot="1" x14ac:dyDescent="0.25">
      <c r="A12" s="183"/>
      <c r="B12" s="133"/>
      <c r="C12" s="133"/>
      <c r="D12" s="187" t="s">
        <v>167</v>
      </c>
      <c r="E12" s="188" t="s">
        <v>168</v>
      </c>
      <c r="F12" s="189" t="s">
        <v>169</v>
      </c>
      <c r="G12" s="133"/>
      <c r="H12" s="133"/>
    </row>
    <row r="13" spans="1:8" ht="14.25" x14ac:dyDescent="0.2">
      <c r="A13" s="190" t="s">
        <v>61</v>
      </c>
      <c r="B13" s="191" t="s">
        <v>62</v>
      </c>
      <c r="C13" s="192">
        <v>0.05</v>
      </c>
      <c r="D13" s="213">
        <v>2.9700000000000001E-2</v>
      </c>
      <c r="E13" s="214">
        <v>5.0799999999999998E-2</v>
      </c>
      <c r="F13" s="215">
        <v>6.2700000000000006E-2</v>
      </c>
      <c r="G13" s="133"/>
      <c r="H13" s="133"/>
    </row>
    <row r="14" spans="1:8" ht="14.25" x14ac:dyDescent="0.2">
      <c r="A14" s="194" t="s">
        <v>63</v>
      </c>
      <c r="B14" s="195" t="s">
        <v>64</v>
      </c>
      <c r="C14" s="196">
        <v>1.3299999999999999E-2</v>
      </c>
      <c r="D14" s="213">
        <f>0.3%+0.56%</f>
        <v>8.6E-3</v>
      </c>
      <c r="E14" s="214">
        <f>0.48%+0.85%</f>
        <v>1.3299999999999999E-2</v>
      </c>
      <c r="F14" s="215">
        <f>0.82%+0.89%</f>
        <v>1.7099999999999997E-2</v>
      </c>
      <c r="G14" s="133"/>
      <c r="H14" s="133"/>
    </row>
    <row r="15" spans="1:8" ht="14.25" x14ac:dyDescent="0.2">
      <c r="A15" s="194" t="s">
        <v>65</v>
      </c>
      <c r="B15" s="195" t="s">
        <v>66</v>
      </c>
      <c r="C15" s="196">
        <v>0.1</v>
      </c>
      <c r="D15" s="213">
        <v>7.7799999999999994E-2</v>
      </c>
      <c r="E15" s="214">
        <v>0.1085</v>
      </c>
      <c r="F15" s="215">
        <v>0.13550000000000001</v>
      </c>
      <c r="G15" s="133"/>
      <c r="H15" s="133"/>
    </row>
    <row r="16" spans="1:8" ht="14.25" x14ac:dyDescent="0.2">
      <c r="A16" s="194" t="s">
        <v>67</v>
      </c>
      <c r="B16" s="195" t="s">
        <v>68</v>
      </c>
      <c r="C16" s="197">
        <f>(1+E16)^(E17/252)-1</f>
        <v>3.7893113471101358E-3</v>
      </c>
      <c r="D16" s="213" t="s">
        <v>235</v>
      </c>
      <c r="E16" s="198">
        <v>0.1</v>
      </c>
      <c r="F16" s="193"/>
      <c r="G16" s="133"/>
      <c r="H16" s="133"/>
    </row>
    <row r="17" spans="1:8" ht="14.25" x14ac:dyDescent="0.2">
      <c r="A17" s="194" t="s">
        <v>69</v>
      </c>
      <c r="B17" s="324" t="s">
        <v>70</v>
      </c>
      <c r="C17" s="196">
        <v>0.03</v>
      </c>
      <c r="D17" s="251" t="s">
        <v>170</v>
      </c>
      <c r="E17" s="199">
        <v>10</v>
      </c>
      <c r="F17" s="200"/>
      <c r="G17" s="133"/>
      <c r="H17" s="133"/>
    </row>
    <row r="18" spans="1:8" ht="15" thickBot="1" x14ac:dyDescent="0.25">
      <c r="A18" s="201" t="s">
        <v>71</v>
      </c>
      <c r="B18" s="325"/>
      <c r="C18" s="202">
        <v>3.6499999999999998E-2</v>
      </c>
      <c r="D18" s="177"/>
      <c r="E18" s="203"/>
      <c r="F18" s="200"/>
      <c r="G18" s="133"/>
      <c r="H18" s="133"/>
    </row>
    <row r="19" spans="1:8" ht="14.25" x14ac:dyDescent="0.2">
      <c r="A19" s="204" t="s">
        <v>72</v>
      </c>
      <c r="B19" s="205"/>
      <c r="C19" s="206"/>
      <c r="D19" s="177"/>
      <c r="E19" s="203"/>
      <c r="F19" s="200"/>
      <c r="G19" s="133"/>
      <c r="H19" s="133"/>
    </row>
    <row r="20" spans="1:8" ht="15" thickBot="1" x14ac:dyDescent="0.25">
      <c r="A20" s="207" t="s">
        <v>73</v>
      </c>
      <c r="B20" s="208"/>
      <c r="C20" s="209"/>
      <c r="D20" s="177"/>
      <c r="E20" s="203"/>
      <c r="F20" s="200"/>
      <c r="G20" s="133"/>
      <c r="H20" s="133"/>
    </row>
    <row r="21" spans="1:8" ht="15.75" thickBot="1" x14ac:dyDescent="0.25">
      <c r="A21" s="210" t="s">
        <v>74</v>
      </c>
      <c r="B21" s="211"/>
      <c r="C21" s="212">
        <f>ROUND((((1+C13+C14)*(1+C15)*(1+C16))/(1-(C17+C18))-1),4)</f>
        <v>0.25769999999999998</v>
      </c>
      <c r="D21" s="216">
        <v>0.21429999999999999</v>
      </c>
      <c r="E21" s="217">
        <v>0.2717</v>
      </c>
      <c r="F21" s="218">
        <v>0.3362</v>
      </c>
      <c r="G21" s="133"/>
      <c r="H21" s="133"/>
    </row>
    <row r="22" spans="1:8" ht="14.25" x14ac:dyDescent="0.2">
      <c r="A22" s="133"/>
      <c r="B22" s="133"/>
      <c r="C22" s="133"/>
      <c r="D22" s="133"/>
      <c r="E22" s="134"/>
      <c r="F22" s="133"/>
      <c r="G22" s="133"/>
      <c r="H22" s="133"/>
    </row>
    <row r="23" spans="1:8" ht="14.25" x14ac:dyDescent="0.2">
      <c r="A23" s="133"/>
      <c r="B23" s="133"/>
      <c r="C23" s="133"/>
      <c r="D23" s="133"/>
      <c r="E23" s="134"/>
      <c r="F23" s="133"/>
      <c r="G23" s="133"/>
      <c r="H23" s="133"/>
    </row>
    <row r="24" spans="1:8" ht="14.25" x14ac:dyDescent="0.2">
      <c r="A24" s="133"/>
      <c r="B24" s="133"/>
      <c r="C24" s="133"/>
      <c r="D24" s="133"/>
      <c r="E24" s="134"/>
      <c r="F24" s="133"/>
      <c r="G24" s="133"/>
      <c r="H24" s="133"/>
    </row>
    <row r="25" spans="1:8" ht="14.25" x14ac:dyDescent="0.2">
      <c r="A25" s="133"/>
      <c r="B25" s="133"/>
      <c r="C25" s="133"/>
      <c r="D25" s="133"/>
      <c r="E25" s="134"/>
      <c r="F25" s="133"/>
      <c r="G25" s="133"/>
      <c r="H25" s="133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0"/>
  <sheetViews>
    <sheetView workbookViewId="0">
      <selection activeCell="A3" sqref="A3"/>
    </sheetView>
  </sheetViews>
  <sheetFormatPr defaultColWidth="8.85546875" defaultRowHeight="15" x14ac:dyDescent="0.25"/>
  <cols>
    <col min="1" max="1" width="8.85546875" style="266"/>
    <col min="2" max="2" width="11.42578125" style="266" customWidth="1"/>
    <col min="3" max="3" width="26.28515625" style="266" customWidth="1"/>
    <col min="4" max="5" width="8.85546875" style="266"/>
    <col min="6" max="6" width="13.28515625" style="266" customWidth="1"/>
    <col min="7" max="16384" width="8.85546875" style="266"/>
  </cols>
  <sheetData>
    <row r="1" spans="1:8" ht="15.75" x14ac:dyDescent="0.25">
      <c r="A1" s="285" t="s">
        <v>316</v>
      </c>
    </row>
    <row r="3" spans="1:8" x14ac:dyDescent="0.25">
      <c r="A3" s="265" t="s">
        <v>278</v>
      </c>
    </row>
    <row r="4" spans="1:8" x14ac:dyDescent="0.25">
      <c r="A4" s="265" t="s">
        <v>331</v>
      </c>
    </row>
    <row r="5" spans="1:8" x14ac:dyDescent="0.25">
      <c r="A5" s="267" t="s">
        <v>257</v>
      </c>
      <c r="B5" s="267" t="s">
        <v>258</v>
      </c>
      <c r="C5" s="267" t="s">
        <v>259</v>
      </c>
      <c r="D5" s="267" t="s">
        <v>260</v>
      </c>
      <c r="E5" s="267" t="s">
        <v>261</v>
      </c>
      <c r="F5" s="267" t="s">
        <v>262</v>
      </c>
    </row>
    <row r="6" spans="1:8" x14ac:dyDescent="0.25">
      <c r="A6" s="268">
        <v>7</v>
      </c>
      <c r="B6" s="267" t="s">
        <v>279</v>
      </c>
      <c r="C6" s="267" t="s">
        <v>312</v>
      </c>
      <c r="D6" s="269">
        <v>0.3125</v>
      </c>
      <c r="E6" s="269">
        <v>0.72083333333333333</v>
      </c>
      <c r="F6" s="269">
        <v>0.3666666666666667</v>
      </c>
      <c r="H6" s="294"/>
    </row>
    <row r="7" spans="1:8" x14ac:dyDescent="0.25">
      <c r="A7" s="268">
        <v>1</v>
      </c>
      <c r="B7" s="267" t="s">
        <v>280</v>
      </c>
      <c r="C7" s="267" t="s">
        <v>312</v>
      </c>
      <c r="D7" s="269">
        <v>0.3125</v>
      </c>
      <c r="E7" s="269">
        <v>0.72083333333333333</v>
      </c>
      <c r="F7" s="269">
        <v>0.3666666666666667</v>
      </c>
      <c r="H7" s="276"/>
    </row>
    <row r="8" spans="1:8" x14ac:dyDescent="0.25">
      <c r="A8" s="268">
        <v>1</v>
      </c>
      <c r="B8" s="267" t="s">
        <v>290</v>
      </c>
      <c r="C8" s="267" t="s">
        <v>312</v>
      </c>
      <c r="D8" s="269">
        <v>0.3125</v>
      </c>
      <c r="E8" s="269">
        <v>0.72083333333333333</v>
      </c>
      <c r="F8" s="269">
        <v>0.3666666666666667</v>
      </c>
    </row>
    <row r="10" spans="1:8" x14ac:dyDescent="0.25">
      <c r="A10" s="265" t="s">
        <v>327</v>
      </c>
    </row>
    <row r="11" spans="1:8" x14ac:dyDescent="0.25">
      <c r="A11" s="270" t="s">
        <v>263</v>
      </c>
      <c r="B11" s="271"/>
      <c r="C11" s="271"/>
      <c r="D11" s="271"/>
      <c r="E11" s="271"/>
      <c r="F11" s="272">
        <v>8.8000000000000007</v>
      </c>
    </row>
    <row r="12" spans="1:8" x14ac:dyDescent="0.25">
      <c r="A12" s="270" t="s">
        <v>264</v>
      </c>
      <c r="B12" s="271"/>
      <c r="C12" s="271"/>
      <c r="D12" s="271"/>
      <c r="E12" s="271"/>
      <c r="F12" s="272">
        <v>5</v>
      </c>
    </row>
    <row r="13" spans="1:8" x14ac:dyDescent="0.25">
      <c r="A13" s="270" t="s">
        <v>265</v>
      </c>
      <c r="B13" s="271"/>
      <c r="C13" s="271"/>
      <c r="D13" s="271"/>
      <c r="E13" s="271"/>
      <c r="F13" s="272">
        <f>F11*F12</f>
        <v>44</v>
      </c>
    </row>
    <row r="14" spans="1:8" x14ac:dyDescent="0.25">
      <c r="A14" s="270" t="s">
        <v>266</v>
      </c>
      <c r="B14" s="271"/>
      <c r="C14" s="271"/>
      <c r="D14" s="271"/>
      <c r="E14" s="271"/>
      <c r="F14" s="272">
        <v>6</v>
      </c>
    </row>
    <row r="15" spans="1:8" x14ac:dyDescent="0.25">
      <c r="A15" s="270" t="s">
        <v>267</v>
      </c>
      <c r="B15" s="271"/>
      <c r="C15" s="271"/>
      <c r="D15" s="271"/>
      <c r="E15" s="271"/>
      <c r="F15" s="272">
        <v>7</v>
      </c>
    </row>
    <row r="16" spans="1:8" x14ac:dyDescent="0.25">
      <c r="A16" s="270" t="s">
        <v>268</v>
      </c>
      <c r="B16" s="271"/>
      <c r="C16" s="271"/>
      <c r="D16" s="271"/>
      <c r="E16" s="271"/>
      <c r="F16" s="280">
        <f>F13/F14</f>
        <v>7.333333333333333</v>
      </c>
    </row>
    <row r="17" spans="1:6" x14ac:dyDescent="0.25">
      <c r="A17" s="270" t="s">
        <v>269</v>
      </c>
      <c r="B17" s="271"/>
      <c r="C17" s="271"/>
      <c r="D17" s="271"/>
      <c r="E17" s="271"/>
      <c r="F17" s="272">
        <v>30</v>
      </c>
    </row>
    <row r="18" spans="1:6" x14ac:dyDescent="0.25">
      <c r="A18" s="273" t="s">
        <v>270</v>
      </c>
      <c r="B18" s="274"/>
      <c r="C18" s="274"/>
      <c r="D18" s="274"/>
      <c r="E18" s="274"/>
      <c r="F18" s="295">
        <f>F16*F17</f>
        <v>220</v>
      </c>
    </row>
    <row r="19" spans="1:6" x14ac:dyDescent="0.25">
      <c r="A19" s="273" t="s">
        <v>271</v>
      </c>
      <c r="B19" s="274"/>
      <c r="C19" s="274"/>
      <c r="D19" s="274"/>
      <c r="E19" s="274"/>
      <c r="F19" s="267">
        <v>220</v>
      </c>
    </row>
    <row r="20" spans="1:6" x14ac:dyDescent="0.25">
      <c r="A20" s="273" t="s">
        <v>272</v>
      </c>
      <c r="B20" s="274"/>
      <c r="C20" s="274"/>
      <c r="D20" s="274"/>
      <c r="E20" s="274"/>
      <c r="F20" s="275">
        <f>F18/F19</f>
        <v>1</v>
      </c>
    </row>
  </sheetData>
  <pageMargins left="0.51181102362204722" right="0.51181102362204722" top="0.78740157480314965" bottom="0.78740157480314965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7"/>
  <sheetViews>
    <sheetView workbookViewId="0">
      <selection activeCell="A36" sqref="A36"/>
    </sheetView>
  </sheetViews>
  <sheetFormatPr defaultColWidth="9.140625" defaultRowHeight="12.75" x14ac:dyDescent="0.2"/>
  <cols>
    <col min="1" max="1" width="70.42578125" style="1" customWidth="1"/>
    <col min="2" max="3" width="9.140625" style="1"/>
    <col min="4" max="4" width="12.85546875" style="1" bestFit="1" customWidth="1"/>
    <col min="5" max="16384" width="9.140625" style="1"/>
  </cols>
  <sheetData>
    <row r="1" spans="1:1" ht="18" x14ac:dyDescent="0.25">
      <c r="A1" s="222" t="s">
        <v>208</v>
      </c>
    </row>
    <row r="2" spans="1:1" x14ac:dyDescent="0.2">
      <c r="A2" s="219"/>
    </row>
    <row r="3" spans="1:1" x14ac:dyDescent="0.2">
      <c r="A3" s="219" t="s">
        <v>224</v>
      </c>
    </row>
    <row r="4" spans="1:1" x14ac:dyDescent="0.2">
      <c r="A4" s="219"/>
    </row>
    <row r="5" spans="1:1" x14ac:dyDescent="0.2">
      <c r="A5" s="219"/>
    </row>
    <row r="6" spans="1:1" x14ac:dyDescent="0.2">
      <c r="A6" s="219"/>
    </row>
    <row r="7" spans="1:1" x14ac:dyDescent="0.2">
      <c r="A7" s="219"/>
    </row>
    <row r="8" spans="1:1" x14ac:dyDescent="0.2">
      <c r="A8" s="219"/>
    </row>
    <row r="9" spans="1:1" x14ac:dyDescent="0.2">
      <c r="A9" s="219"/>
    </row>
    <row r="10" spans="1:1" x14ac:dyDescent="0.2">
      <c r="A10" s="219"/>
    </row>
    <row r="11" spans="1:1" x14ac:dyDescent="0.2">
      <c r="A11" s="219"/>
    </row>
    <row r="12" spans="1:1" ht="19.5" x14ac:dyDescent="0.35">
      <c r="A12" s="220" t="s">
        <v>205</v>
      </c>
    </row>
    <row r="13" spans="1:1" ht="15" x14ac:dyDescent="0.2">
      <c r="A13" s="220" t="s">
        <v>89</v>
      </c>
    </row>
    <row r="14" spans="1:1" ht="15" x14ac:dyDescent="0.2">
      <c r="A14" s="220" t="s">
        <v>94</v>
      </c>
    </row>
    <row r="15" spans="1:1" ht="19.5" x14ac:dyDescent="0.35">
      <c r="A15" s="220" t="s">
        <v>206</v>
      </c>
    </row>
    <row r="16" spans="1:1" ht="19.5" x14ac:dyDescent="0.35">
      <c r="A16" s="220" t="s">
        <v>207</v>
      </c>
    </row>
    <row r="17" spans="1:1" ht="15.75" thickBot="1" x14ac:dyDescent="0.25">
      <c r="A17" s="221" t="s">
        <v>90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1. Triagem</vt:lpstr>
      <vt:lpstr>2 Resumo</vt:lpstr>
      <vt:lpstr>3.Encargos Sociais</vt:lpstr>
      <vt:lpstr>4.CAGED</vt:lpstr>
      <vt:lpstr>5.BDI</vt:lpstr>
      <vt:lpstr>6.Horários</vt:lpstr>
      <vt:lpstr>7.Remuneração de capital</vt:lpstr>
      <vt:lpstr>AbaRemun</vt:lpstr>
      <vt:lpstr>'1. Triagem'!Area_de_impressao</vt:lpstr>
      <vt:lpstr>'3.Encargos Sociais'!Area_de_impressao</vt:lpstr>
      <vt:lpstr>'1. Triagem'!Titulos_de_impressao</vt:lpstr>
    </vt:vector>
  </TitlesOfParts>
  <Company>dmlu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Usuario</cp:lastModifiedBy>
  <cp:lastPrinted>2023-01-05T20:42:26Z</cp:lastPrinted>
  <dcterms:created xsi:type="dcterms:W3CDTF">2000-12-13T10:02:50Z</dcterms:created>
  <dcterms:modified xsi:type="dcterms:W3CDTF">2023-10-16T12:01:16Z</dcterms:modified>
</cp:coreProperties>
</file>